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ivereadingac.sharepoint.com/sites/grp-sapd-value4foodreading/Shared Documents/General/Reading WPs/Reading workpackages/Task 4.5/T4.5.3 Transition tool/Web materials for EQ July 2026/"/>
    </mc:Choice>
  </mc:AlternateContent>
  <xr:revisionPtr revIDLastSave="369" documentId="8_{75209AB9-16D1-400C-B618-247B40B6E72C}" xr6:coauthVersionLast="47" xr6:coauthVersionMax="47" xr10:uidLastSave="{D0DD354E-67E7-46EE-B975-3E0B7DD76FBE}"/>
  <bookViews>
    <workbookView xWindow="-110" yWindow="-110" windowWidth="22780" windowHeight="14540" xr2:uid="{00000000-000D-0000-FFFF-FFFF00000000}"/>
  </bookViews>
  <sheets>
    <sheet name="Read Me" sheetId="4" r:id="rId1"/>
    <sheet name="Inputs" sheetId="1" r:id="rId2"/>
    <sheet name="Calculations" sheetId="2" r:id="rId3"/>
    <sheet name="Summary" sheetId="3" r:id="rId4"/>
  </sheets>
  <definedNames>
    <definedName name="lo">Inputs!$B$5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 i="1" l="1"/>
  <c r="B57" i="1" s="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0" i="1"/>
  <c r="G9" i="1"/>
  <c r="X4" i="2" s="1"/>
  <c r="A43" i="3"/>
  <c r="A42" i="3"/>
  <c r="A41" i="3"/>
  <c r="A40" i="3"/>
  <c r="A39" i="3"/>
  <c r="A38" i="3"/>
  <c r="A37" i="3"/>
  <c r="A36" i="3"/>
  <c r="A35" i="3"/>
  <c r="A34" i="3"/>
  <c r="A33" i="3"/>
  <c r="A32" i="3"/>
  <c r="A31" i="3"/>
  <c r="A30" i="3"/>
  <c r="A29" i="3"/>
  <c r="A28" i="3"/>
  <c r="A27" i="3"/>
  <c r="A26" i="3"/>
  <c r="A25" i="3"/>
  <c r="A24" i="3"/>
  <c r="A23" i="3"/>
  <c r="A22" i="3"/>
  <c r="A21" i="3"/>
  <c r="A20" i="3"/>
  <c r="A19" i="3"/>
  <c r="A18" i="3"/>
  <c r="B3" i="3"/>
  <c r="AA29" i="2"/>
  <c r="Z29" i="2"/>
  <c r="Y29" i="2"/>
  <c r="X29" i="2"/>
  <c r="W29" i="2"/>
  <c r="V29" i="2"/>
  <c r="U29" i="2"/>
  <c r="T29" i="2"/>
  <c r="S29" i="2"/>
  <c r="R29" i="2"/>
  <c r="Q29" i="2"/>
  <c r="P29" i="2"/>
  <c r="O29" i="2"/>
  <c r="N29" i="2"/>
  <c r="M29" i="2"/>
  <c r="L29" i="2"/>
  <c r="K29" i="2"/>
  <c r="J29" i="2"/>
  <c r="I29" i="2"/>
  <c r="H29" i="2"/>
  <c r="G29" i="2"/>
  <c r="F29" i="2"/>
  <c r="E29" i="2"/>
  <c r="D29" i="2"/>
  <c r="C29" i="2"/>
  <c r="B51" i="1" l="1"/>
  <c r="B54" i="1" s="1"/>
  <c r="B48" i="1"/>
  <c r="B49" i="1" s="1"/>
  <c r="B52" i="1" s="1"/>
  <c r="K4" i="2"/>
  <c r="K24" i="2" s="1"/>
  <c r="B56" i="1"/>
  <c r="P4" i="2"/>
  <c r="P24" i="2" s="1"/>
  <c r="B55" i="1"/>
  <c r="V4" i="2"/>
  <c r="V8" i="2" s="1"/>
  <c r="F4" i="2"/>
  <c r="F23" i="2" s="1"/>
  <c r="AA4" i="2"/>
  <c r="AA19" i="2" s="1"/>
  <c r="X31" i="2"/>
  <c r="X24" i="2"/>
  <c r="X19" i="2"/>
  <c r="X16" i="2"/>
  <c r="X14" i="2"/>
  <c r="X22" i="2"/>
  <c r="X20" i="2"/>
  <c r="X8" i="2"/>
  <c r="X12" i="2" s="1"/>
  <c r="X13" i="2"/>
  <c r="X5" i="2"/>
  <c r="X6" i="2" s="1"/>
  <c r="X10" i="2" s="1"/>
  <c r="X21" i="2"/>
  <c r="X15" i="2"/>
  <c r="X23" i="2"/>
  <c r="B4" i="2"/>
  <c r="B25" i="2" s="1"/>
  <c r="G4" i="2"/>
  <c r="L4" i="2"/>
  <c r="L25" i="2" s="1"/>
  <c r="R4" i="2"/>
  <c r="R25" i="2" s="1"/>
  <c r="W4" i="2"/>
  <c r="W25" i="2" s="1"/>
  <c r="B46" i="1"/>
  <c r="B6" i="3" s="1"/>
  <c r="B29" i="2"/>
  <c r="C4" i="2"/>
  <c r="C25" i="2" s="1"/>
  <c r="H4" i="2"/>
  <c r="H25" i="2" s="1"/>
  <c r="N4" i="2"/>
  <c r="N25" i="2" s="1"/>
  <c r="S4" i="2"/>
  <c r="Y4" i="2"/>
  <c r="Y25" i="2" s="1"/>
  <c r="U4" i="2"/>
  <c r="Q4" i="2"/>
  <c r="Q25" i="2" s="1"/>
  <c r="M4" i="2"/>
  <c r="M25" i="2" s="1"/>
  <c r="I4" i="2"/>
  <c r="I25" i="2" s="1"/>
  <c r="E4" i="2"/>
  <c r="X25" i="2"/>
  <c r="B45" i="1"/>
  <c r="D4" i="2"/>
  <c r="J4" i="2"/>
  <c r="J25" i="2" s="1"/>
  <c r="O4" i="2"/>
  <c r="O25" i="2" s="1"/>
  <c r="T4" i="2"/>
  <c r="T25" i="2" s="1"/>
  <c r="Z4" i="2"/>
  <c r="X7" i="2" l="1"/>
  <c r="X11" i="2" s="1"/>
  <c r="AA23" i="2"/>
  <c r="G25" i="2"/>
  <c r="P5" i="2"/>
  <c r="P15" i="2"/>
  <c r="P31" i="2"/>
  <c r="AA15" i="2"/>
  <c r="AA5" i="2"/>
  <c r="P13" i="2"/>
  <c r="P23" i="2"/>
  <c r="P19" i="2"/>
  <c r="AA21" i="2"/>
  <c r="P8" i="2"/>
  <c r="P12" i="2" s="1"/>
  <c r="P21" i="2"/>
  <c r="AA22" i="2"/>
  <c r="K19" i="2"/>
  <c r="V21" i="2"/>
  <c r="K13" i="2"/>
  <c r="K20" i="2"/>
  <c r="K22" i="2"/>
  <c r="K21" i="2"/>
  <c r="K25" i="2"/>
  <c r="K15" i="2"/>
  <c r="K31" i="2"/>
  <c r="V5" i="2"/>
  <c r="F31" i="2"/>
  <c r="K16" i="2"/>
  <c r="F19" i="2"/>
  <c r="P25" i="2"/>
  <c r="V12" i="2"/>
  <c r="V15" i="2"/>
  <c r="P16" i="2"/>
  <c r="F16" i="2"/>
  <c r="P20" i="2"/>
  <c r="F21" i="2"/>
  <c r="AA13" i="2"/>
  <c r="AA31" i="2"/>
  <c r="K14" i="2"/>
  <c r="AA8" i="2"/>
  <c r="AA12" i="2" s="1"/>
  <c r="F15" i="2"/>
  <c r="F24" i="2"/>
  <c r="F20" i="2"/>
  <c r="F8" i="2"/>
  <c r="F12" i="2" s="1"/>
  <c r="AA25" i="2"/>
  <c r="F5" i="2"/>
  <c r="F6" i="2" s="1"/>
  <c r="F10" i="2" s="1"/>
  <c r="V31" i="2"/>
  <c r="P14" i="2"/>
  <c r="P22" i="2"/>
  <c r="F14" i="2"/>
  <c r="F22" i="2"/>
  <c r="AA20" i="2"/>
  <c r="AA16" i="2"/>
  <c r="AA14" i="2"/>
  <c r="AA24" i="2"/>
  <c r="K5" i="2"/>
  <c r="K6" i="2" s="1"/>
  <c r="K10" i="2" s="1"/>
  <c r="K23" i="2"/>
  <c r="K8" i="2"/>
  <c r="K12" i="2" s="1"/>
  <c r="F25" i="2"/>
  <c r="F13" i="2"/>
  <c r="V19" i="2"/>
  <c r="V24" i="2"/>
  <c r="V20" i="2"/>
  <c r="V25" i="2"/>
  <c r="V16" i="2"/>
  <c r="V22" i="2"/>
  <c r="V14" i="2"/>
  <c r="V13" i="2"/>
  <c r="V23" i="2"/>
  <c r="X17" i="2"/>
  <c r="U31" i="2"/>
  <c r="U24" i="2"/>
  <c r="U22" i="2"/>
  <c r="U21" i="2"/>
  <c r="U13" i="2"/>
  <c r="U8" i="2"/>
  <c r="U12" i="2" s="1"/>
  <c r="U15" i="2"/>
  <c r="U14" i="2"/>
  <c r="U16" i="2"/>
  <c r="U5" i="2"/>
  <c r="U6" i="2" s="1"/>
  <c r="U20" i="2"/>
  <c r="U19" i="2"/>
  <c r="U23" i="2"/>
  <c r="S31" i="2"/>
  <c r="S23" i="2"/>
  <c r="S21" i="2"/>
  <c r="S19" i="2"/>
  <c r="S5" i="2"/>
  <c r="S20" i="2"/>
  <c r="S24" i="2"/>
  <c r="S14" i="2"/>
  <c r="S6" i="2"/>
  <c r="S10" i="2" s="1"/>
  <c r="S22" i="2"/>
  <c r="S16" i="2"/>
  <c r="S15" i="2"/>
  <c r="S13" i="2"/>
  <c r="S8" i="2"/>
  <c r="S12" i="2" s="1"/>
  <c r="G31" i="2"/>
  <c r="G23" i="2"/>
  <c r="G24" i="2"/>
  <c r="G16" i="2"/>
  <c r="G15" i="2"/>
  <c r="G5" i="2"/>
  <c r="G19" i="2"/>
  <c r="G20" i="2"/>
  <c r="G8" i="2"/>
  <c r="G12" i="2" s="1"/>
  <c r="G14" i="2"/>
  <c r="G13" i="2"/>
  <c r="G22" i="2"/>
  <c r="G21" i="2"/>
  <c r="G6" i="2"/>
  <c r="G7" i="2" s="1"/>
  <c r="G11" i="2" s="1"/>
  <c r="T31" i="2"/>
  <c r="T19" i="2"/>
  <c r="T16" i="2"/>
  <c r="T14" i="2"/>
  <c r="T23" i="2"/>
  <c r="T20" i="2"/>
  <c r="T24" i="2"/>
  <c r="T21" i="2"/>
  <c r="T13" i="2"/>
  <c r="T8" i="2"/>
  <c r="T12" i="2" s="1"/>
  <c r="T5" i="2"/>
  <c r="T6" i="2" s="1"/>
  <c r="T22" i="2"/>
  <c r="T15" i="2"/>
  <c r="B5" i="3"/>
  <c r="B47" i="1"/>
  <c r="B7" i="3" s="1"/>
  <c r="S25" i="2"/>
  <c r="I31" i="2"/>
  <c r="I24" i="2"/>
  <c r="I22" i="2"/>
  <c r="I20" i="2"/>
  <c r="I19" i="2"/>
  <c r="I8" i="2"/>
  <c r="I12" i="2" s="1"/>
  <c r="I21" i="2"/>
  <c r="I13" i="2"/>
  <c r="I14" i="2"/>
  <c r="I16" i="2"/>
  <c r="I5" i="2"/>
  <c r="I23" i="2"/>
  <c r="I15" i="2"/>
  <c r="Y31" i="2"/>
  <c r="Y24" i="2"/>
  <c r="Y22" i="2"/>
  <c r="Y20" i="2"/>
  <c r="Y19" i="2"/>
  <c r="Y8" i="2"/>
  <c r="Y12" i="2" s="1"/>
  <c r="Y23" i="2"/>
  <c r="Y13" i="2"/>
  <c r="Y21" i="2"/>
  <c r="Y15" i="2"/>
  <c r="Y16" i="2"/>
  <c r="Y14" i="2"/>
  <c r="Y5" i="2"/>
  <c r="Y6" i="2" s="1"/>
  <c r="Y10" i="2" s="1"/>
  <c r="N31" i="2"/>
  <c r="N20" i="2"/>
  <c r="N15" i="2"/>
  <c r="N13" i="2"/>
  <c r="N19" i="2"/>
  <c r="N24" i="2"/>
  <c r="N21" i="2"/>
  <c r="N22" i="2"/>
  <c r="N23" i="2"/>
  <c r="N8" i="2"/>
  <c r="N12" i="2" s="1"/>
  <c r="N5" i="2"/>
  <c r="N6" i="2" s="1"/>
  <c r="N10" i="2" s="1"/>
  <c r="N16" i="2"/>
  <c r="N14" i="2"/>
  <c r="W31" i="2"/>
  <c r="W23" i="2"/>
  <c r="W21" i="2"/>
  <c r="W24" i="2"/>
  <c r="W16" i="2"/>
  <c r="W15" i="2"/>
  <c r="W5" i="2"/>
  <c r="W6" i="2" s="1"/>
  <c r="W22" i="2"/>
  <c r="W19" i="2"/>
  <c r="W8" i="2"/>
  <c r="W12" i="2" s="1"/>
  <c r="W14" i="2"/>
  <c r="W13" i="2"/>
  <c r="W20" i="2"/>
  <c r="B31" i="2"/>
  <c r="B24" i="2"/>
  <c r="B20" i="2"/>
  <c r="B15" i="2"/>
  <c r="B13" i="2"/>
  <c r="B11" i="2"/>
  <c r="B16" i="2"/>
  <c r="B22" i="2"/>
  <c r="B19" i="2"/>
  <c r="B10" i="2"/>
  <c r="B7" i="2"/>
  <c r="B23" i="2"/>
  <c r="B21" i="2"/>
  <c r="B8" i="2"/>
  <c r="B6" i="2"/>
  <c r="B14" i="2"/>
  <c r="B12" i="2"/>
  <c r="B5" i="2"/>
  <c r="B50" i="1"/>
  <c r="B53" i="1" s="1"/>
  <c r="B58" i="1" s="1"/>
  <c r="X26" i="2"/>
  <c r="D31" i="2"/>
  <c r="D21" i="2"/>
  <c r="D19" i="2"/>
  <c r="D16" i="2"/>
  <c r="D14" i="2"/>
  <c r="D20" i="2"/>
  <c r="D23" i="2"/>
  <c r="D13" i="2"/>
  <c r="D8" i="2"/>
  <c r="D12" i="2" s="1"/>
  <c r="D24" i="2"/>
  <c r="D15" i="2"/>
  <c r="D5" i="2"/>
  <c r="D22" i="2"/>
  <c r="U25" i="2"/>
  <c r="M31" i="2"/>
  <c r="M24" i="2"/>
  <c r="M22" i="2"/>
  <c r="M23" i="2"/>
  <c r="M16" i="2"/>
  <c r="M8" i="2"/>
  <c r="M12" i="2" s="1"/>
  <c r="M20" i="2"/>
  <c r="M19" i="2"/>
  <c r="M21" i="2"/>
  <c r="M13" i="2"/>
  <c r="M14" i="2"/>
  <c r="M15" i="2"/>
  <c r="M5" i="2"/>
  <c r="M6" i="2" s="1"/>
  <c r="M10" i="2" s="1"/>
  <c r="H31" i="2"/>
  <c r="H21" i="2"/>
  <c r="H19" i="2"/>
  <c r="H16" i="2"/>
  <c r="H14" i="2"/>
  <c r="H24" i="2"/>
  <c r="H22" i="2"/>
  <c r="H20" i="2"/>
  <c r="H8" i="2"/>
  <c r="H12" i="2" s="1"/>
  <c r="H23" i="2"/>
  <c r="H15" i="2"/>
  <c r="H13" i="2"/>
  <c r="H5" i="2"/>
  <c r="H6" i="2" s="1"/>
  <c r="H10" i="2" s="1"/>
  <c r="R31" i="2"/>
  <c r="R24" i="2"/>
  <c r="R20" i="2"/>
  <c r="R15" i="2"/>
  <c r="R13" i="2"/>
  <c r="R22" i="2"/>
  <c r="R16" i="2"/>
  <c r="R23" i="2"/>
  <c r="R19" i="2"/>
  <c r="R14" i="2"/>
  <c r="R8" i="2"/>
  <c r="R12" i="2" s="1"/>
  <c r="R21" i="2"/>
  <c r="R5" i="2"/>
  <c r="R6" i="2" s="1"/>
  <c r="R10" i="2" s="1"/>
  <c r="Z31" i="2"/>
  <c r="Z24" i="2"/>
  <c r="Z21" i="2"/>
  <c r="Z20" i="2"/>
  <c r="Z15" i="2"/>
  <c r="Z13" i="2"/>
  <c r="Z23" i="2"/>
  <c r="Z14" i="2"/>
  <c r="Z5" i="2"/>
  <c r="Z6" i="2" s="1"/>
  <c r="Z10" i="2" s="1"/>
  <c r="Z8" i="2"/>
  <c r="Z12" i="2" s="1"/>
  <c r="Z22" i="2"/>
  <c r="Z19" i="2"/>
  <c r="Z16" i="2"/>
  <c r="Z25" i="2"/>
  <c r="D25" i="2"/>
  <c r="E31" i="2"/>
  <c r="E24" i="2"/>
  <c r="E22" i="2"/>
  <c r="E23" i="2"/>
  <c r="E21" i="2"/>
  <c r="E13" i="2"/>
  <c r="E8" i="2"/>
  <c r="E12" i="2" s="1"/>
  <c r="E15" i="2"/>
  <c r="E14" i="2"/>
  <c r="E5" i="2"/>
  <c r="E6" i="2" s="1"/>
  <c r="E10" i="2" s="1"/>
  <c r="E20" i="2"/>
  <c r="E19" i="2"/>
  <c r="E16" i="2"/>
  <c r="O31" i="2"/>
  <c r="O23" i="2"/>
  <c r="O24" i="2"/>
  <c r="O21" i="2"/>
  <c r="O20" i="2"/>
  <c r="O5" i="2"/>
  <c r="O22" i="2"/>
  <c r="O14" i="2"/>
  <c r="O13" i="2"/>
  <c r="O15" i="2"/>
  <c r="O8" i="2"/>
  <c r="O12" i="2" s="1"/>
  <c r="O19" i="2"/>
  <c r="O16" i="2"/>
  <c r="O6" i="2"/>
  <c r="O10" i="2" s="1"/>
  <c r="E25" i="2"/>
  <c r="J31" i="2"/>
  <c r="J20" i="2"/>
  <c r="J15" i="2"/>
  <c r="J13" i="2"/>
  <c r="J22" i="2"/>
  <c r="J21" i="2"/>
  <c r="J23" i="2"/>
  <c r="J14" i="2"/>
  <c r="J16" i="2"/>
  <c r="J5" i="2"/>
  <c r="J6" i="2" s="1"/>
  <c r="J10" i="2" s="1"/>
  <c r="J24" i="2"/>
  <c r="J8" i="2"/>
  <c r="J12" i="2" s="1"/>
  <c r="J19" i="2"/>
  <c r="Q31" i="2"/>
  <c r="Q24" i="2"/>
  <c r="Q22" i="2"/>
  <c r="Q23" i="2"/>
  <c r="Q15" i="2"/>
  <c r="Q14" i="2"/>
  <c r="Q8" i="2"/>
  <c r="Q12" i="2" s="1"/>
  <c r="Q16" i="2"/>
  <c r="Q20" i="2"/>
  <c r="Q21" i="2"/>
  <c r="Q13" i="2"/>
  <c r="Q5" i="2"/>
  <c r="Q6" i="2" s="1"/>
  <c r="Q10" i="2" s="1"/>
  <c r="Q19" i="2"/>
  <c r="C31" i="2"/>
  <c r="C23" i="2"/>
  <c r="C22" i="2"/>
  <c r="C19" i="2"/>
  <c r="C5" i="2"/>
  <c r="C6" i="2" s="1"/>
  <c r="C10" i="2" s="1"/>
  <c r="C21" i="2"/>
  <c r="C20" i="2"/>
  <c r="C13" i="2"/>
  <c r="C16" i="2"/>
  <c r="C24" i="2"/>
  <c r="E11" i="3" s="1"/>
  <c r="C15" i="2"/>
  <c r="C14" i="2"/>
  <c r="C8" i="2"/>
  <c r="C12" i="2" s="1"/>
  <c r="L31" i="2"/>
  <c r="L24" i="2"/>
  <c r="L23" i="2"/>
  <c r="L21" i="2"/>
  <c r="L19" i="2"/>
  <c r="L16" i="2"/>
  <c r="L14" i="2"/>
  <c r="L15" i="2"/>
  <c r="L8" i="2"/>
  <c r="L12" i="2" s="1"/>
  <c r="L5" i="2"/>
  <c r="L22" i="2"/>
  <c r="L13" i="2"/>
  <c r="L20" i="2"/>
  <c r="W7" i="2" l="1"/>
  <c r="W11" i="2" s="1"/>
  <c r="W10" i="2"/>
  <c r="Z7" i="2"/>
  <c r="Z11" i="2" s="1"/>
  <c r="Z17" i="2" s="1"/>
  <c r="AA6" i="2"/>
  <c r="AA10" i="2" s="1"/>
  <c r="Y7" i="2"/>
  <c r="Y11" i="2" s="1"/>
  <c r="Y17" i="2" s="1"/>
  <c r="P6" i="2"/>
  <c r="P10" i="2" s="1"/>
  <c r="R7" i="2"/>
  <c r="R11" i="2" s="1"/>
  <c r="R17" i="2" s="1"/>
  <c r="S7" i="2"/>
  <c r="S11" i="2" s="1"/>
  <c r="S17" i="2" s="1"/>
  <c r="U10" i="2"/>
  <c r="U7" i="2"/>
  <c r="U11" i="2" s="1"/>
  <c r="T10" i="2"/>
  <c r="T7" i="2"/>
  <c r="T11" i="2" s="1"/>
  <c r="V6" i="2"/>
  <c r="V10" i="2" s="1"/>
  <c r="O7" i="2"/>
  <c r="O11" i="2" s="1"/>
  <c r="O17" i="2" s="1"/>
  <c r="K26" i="2"/>
  <c r="AA26" i="2"/>
  <c r="O26" i="2"/>
  <c r="X28" i="2"/>
  <c r="X30" i="2" s="1"/>
  <c r="X32" i="2" s="1"/>
  <c r="V26" i="2"/>
  <c r="F26" i="2"/>
  <c r="P26" i="2"/>
  <c r="L26" i="2"/>
  <c r="J7" i="2"/>
  <c r="J11" i="2" s="1"/>
  <c r="J17" i="2" s="1"/>
  <c r="F7" i="2"/>
  <c r="F11" i="2" s="1"/>
  <c r="F17" i="2" s="1"/>
  <c r="I6" i="2"/>
  <c r="I10" i="2" s="1"/>
  <c r="Z26" i="2"/>
  <c r="H7" i="2"/>
  <c r="H11" i="2" s="1"/>
  <c r="H17" i="2" s="1"/>
  <c r="N26" i="2"/>
  <c r="L6" i="2"/>
  <c r="L10" i="2" s="1"/>
  <c r="Q26" i="2"/>
  <c r="K7" i="2"/>
  <c r="K11" i="2" s="1"/>
  <c r="K17" i="2" s="1"/>
  <c r="E7" i="2"/>
  <c r="E11" i="2" s="1"/>
  <c r="E17" i="2" s="1"/>
  <c r="D6" i="2"/>
  <c r="D10" i="2" s="1"/>
  <c r="B17" i="2"/>
  <c r="E6" i="3"/>
  <c r="N7" i="2"/>
  <c r="N11" i="2" s="1"/>
  <c r="N17" i="2" s="1"/>
  <c r="Y26" i="2"/>
  <c r="C7" i="2"/>
  <c r="C11" i="2" s="1"/>
  <c r="E5" i="3" s="1"/>
  <c r="Q7" i="2"/>
  <c r="Q11" i="2" s="1"/>
  <c r="Q17" i="2" s="1"/>
  <c r="M7" i="2"/>
  <c r="M11" i="2" s="1"/>
  <c r="M17" i="2" s="1"/>
  <c r="M26" i="2"/>
  <c r="J26" i="2"/>
  <c r="E26" i="2"/>
  <c r="H26" i="2"/>
  <c r="D26" i="2"/>
  <c r="W26" i="2"/>
  <c r="I26" i="2"/>
  <c r="T26" i="2"/>
  <c r="G10" i="2"/>
  <c r="G17" i="2" s="1"/>
  <c r="S26" i="2"/>
  <c r="U26" i="2"/>
  <c r="R26" i="2"/>
  <c r="B26" i="2"/>
  <c r="C26" i="2"/>
  <c r="B9" i="3" s="1"/>
  <c r="E10" i="3"/>
  <c r="E12" i="3" s="1"/>
  <c r="G26" i="2"/>
  <c r="W17" i="2" l="1"/>
  <c r="W28" i="2" s="1"/>
  <c r="W30" i="2" s="1"/>
  <c r="AA7" i="2"/>
  <c r="AA11" i="2" s="1"/>
  <c r="AA17" i="2" s="1"/>
  <c r="AA28" i="2" s="1"/>
  <c r="AA30" i="2" s="1"/>
  <c r="B43" i="3" s="1"/>
  <c r="P7" i="2"/>
  <c r="P11" i="2" s="1"/>
  <c r="P17" i="2" s="1"/>
  <c r="V7" i="2"/>
  <c r="V11" i="2" s="1"/>
  <c r="V17" i="2" s="1"/>
  <c r="V28" i="2" s="1"/>
  <c r="V30" i="2" s="1"/>
  <c r="B38" i="3" s="1"/>
  <c r="T17" i="2"/>
  <c r="T28" i="2" s="1"/>
  <c r="T30" i="2" s="1"/>
  <c r="O28" i="2"/>
  <c r="O30" i="2" s="1"/>
  <c r="B31" i="3" s="1"/>
  <c r="K28" i="2"/>
  <c r="K30" i="2" s="1"/>
  <c r="B27" i="3" s="1"/>
  <c r="U17" i="2"/>
  <c r="U28" i="2" s="1"/>
  <c r="U30" i="2" s="1"/>
  <c r="U32" i="2" s="1"/>
  <c r="N28" i="2"/>
  <c r="N30" i="2" s="1"/>
  <c r="N32" i="2" s="1"/>
  <c r="I7" i="2"/>
  <c r="I11" i="2" s="1"/>
  <c r="I17" i="2" s="1"/>
  <c r="I28" i="2" s="1"/>
  <c r="I30" i="2" s="1"/>
  <c r="B40" i="3"/>
  <c r="Z28" i="2"/>
  <c r="Z30" i="2" s="1"/>
  <c r="Z32" i="2" s="1"/>
  <c r="M28" i="2"/>
  <c r="M30" i="2" s="1"/>
  <c r="B29" i="3" s="1"/>
  <c r="Q28" i="2"/>
  <c r="Q30" i="2" s="1"/>
  <c r="B33" i="3" s="1"/>
  <c r="F28" i="2"/>
  <c r="F30" i="2" s="1"/>
  <c r="C17" i="2"/>
  <c r="B8" i="3" s="1"/>
  <c r="J28" i="2"/>
  <c r="J30" i="2" s="1"/>
  <c r="B26" i="3" s="1"/>
  <c r="B28" i="2"/>
  <c r="B30" i="2" s="1"/>
  <c r="B32" i="2" s="1"/>
  <c r="L7" i="2"/>
  <c r="L11" i="2" s="1"/>
  <c r="L17" i="2" s="1"/>
  <c r="L28" i="2" s="1"/>
  <c r="L30" i="2" s="1"/>
  <c r="R28" i="2"/>
  <c r="R30" i="2" s="1"/>
  <c r="B34" i="3" s="1"/>
  <c r="E28" i="2"/>
  <c r="E30" i="2" s="1"/>
  <c r="E32" i="2" s="1"/>
  <c r="D7" i="2"/>
  <c r="D11" i="2" s="1"/>
  <c r="D17" i="2" s="1"/>
  <c r="S28" i="2"/>
  <c r="S30" i="2" s="1"/>
  <c r="G28" i="2"/>
  <c r="G30" i="2" s="1"/>
  <c r="Y28" i="2"/>
  <c r="Y30" i="2" s="1"/>
  <c r="E7" i="3"/>
  <c r="E13" i="3" s="1"/>
  <c r="H28" i="2"/>
  <c r="H30" i="2" s="1"/>
  <c r="P28" i="2" l="1"/>
  <c r="P30" i="2" s="1"/>
  <c r="B32" i="3" s="1"/>
  <c r="AA32" i="2"/>
  <c r="K32" i="2"/>
  <c r="Q32" i="2"/>
  <c r="M32" i="2"/>
  <c r="O32" i="2"/>
  <c r="B30" i="3"/>
  <c r="B37" i="3"/>
  <c r="B42" i="3"/>
  <c r="V32" i="2"/>
  <c r="B33" i="2"/>
  <c r="C28" i="2"/>
  <c r="C30" i="2" s="1"/>
  <c r="B18" i="3"/>
  <c r="B22" i="3"/>
  <c r="F32" i="2"/>
  <c r="B21" i="3"/>
  <c r="D28" i="2"/>
  <c r="D30" i="2" s="1"/>
  <c r="B14" i="3"/>
  <c r="L32" i="2"/>
  <c r="B28" i="3"/>
  <c r="R32" i="2"/>
  <c r="J32" i="2"/>
  <c r="B39" i="3"/>
  <c r="W32" i="2"/>
  <c r="T32" i="2"/>
  <c r="B36" i="3"/>
  <c r="Y32" i="2"/>
  <c r="B41" i="3"/>
  <c r="B23" i="3"/>
  <c r="G32" i="2"/>
  <c r="I32" i="2"/>
  <c r="B25" i="3"/>
  <c r="B35" i="3"/>
  <c r="S32" i="2"/>
  <c r="H32" i="2"/>
  <c r="B24" i="3"/>
  <c r="P32" i="2" l="1"/>
  <c r="C18" i="3"/>
  <c r="C33" i="2"/>
  <c r="D33" i="2" s="1"/>
  <c r="B10" i="3"/>
  <c r="D32" i="2"/>
  <c r="B20" i="3"/>
  <c r="B19" i="3"/>
  <c r="C32" i="2"/>
  <c r="B13" i="3"/>
  <c r="C19" i="3" l="1"/>
  <c r="B11" i="3"/>
  <c r="C20" i="3"/>
  <c r="E33" i="2"/>
  <c r="F33" i="2" l="1"/>
  <c r="C21" i="3"/>
  <c r="G33" i="2" l="1"/>
  <c r="C22" i="3"/>
  <c r="C23" i="3" l="1"/>
  <c r="H33" i="2"/>
  <c r="C24" i="3" l="1"/>
  <c r="I33" i="2"/>
  <c r="J33" i="2" l="1"/>
  <c r="C25" i="3"/>
  <c r="K33" i="2" l="1"/>
  <c r="C26" i="3"/>
  <c r="C27" i="3" l="1"/>
  <c r="L33" i="2"/>
  <c r="C28" i="3" l="1"/>
  <c r="M33" i="2"/>
  <c r="N33" i="2" l="1"/>
  <c r="C29" i="3"/>
  <c r="O33" i="2" l="1"/>
  <c r="C30" i="3"/>
  <c r="C31" i="3" l="1"/>
  <c r="P33" i="2"/>
  <c r="C32" i="3" l="1"/>
  <c r="Q33" i="2"/>
  <c r="R33" i="2" l="1"/>
  <c r="C33" i="3"/>
  <c r="S33" i="2" l="1"/>
  <c r="C34" i="3"/>
  <c r="C35" i="3" l="1"/>
  <c r="T33" i="2"/>
  <c r="C36" i="3" l="1"/>
  <c r="U33" i="2"/>
  <c r="V33" i="2" l="1"/>
  <c r="C37" i="3"/>
  <c r="W33" i="2" l="1"/>
  <c r="C38" i="3"/>
  <c r="C39" i="3" l="1"/>
  <c r="X33" i="2"/>
  <c r="C40" i="3" l="1"/>
  <c r="Y33" i="2"/>
  <c r="Z33" i="2" l="1"/>
  <c r="C41" i="3"/>
  <c r="AA33" i="2" l="1"/>
  <c r="B12" i="3" s="1"/>
  <c r="C42" i="3"/>
  <c r="C43" i="3" l="1"/>
</calcChain>
</file>

<file path=xl/sharedStrings.xml><?xml version="1.0" encoding="utf-8"?>
<sst xmlns="http://schemas.openxmlformats.org/spreadsheetml/2006/main" count="279" uniqueCount="219">
  <si>
    <t>EU Biogas Partial Budget Model Template</t>
  </si>
  <si>
    <t>MODEL SCENARIOS</t>
  </si>
  <si>
    <t>The model allows you to preselect scenarios, High, Base and Low or add your bespoke "Farmer Estimate"</t>
  </si>
  <si>
    <r>
      <rPr>
        <b/>
        <sz val="11"/>
        <rFont val="Calibri"/>
        <scheme val="minor"/>
      </rPr>
      <t xml:space="preserve">High: </t>
    </r>
    <r>
      <rPr>
        <sz val="11"/>
        <rFont val="Calibri"/>
        <scheme val="minor"/>
      </rPr>
      <t>Provides an optimistic potential output, if outputs are high and costs can be kept to a minimum</t>
    </r>
  </si>
  <si>
    <r>
      <rPr>
        <b/>
        <sz val="11"/>
        <rFont val="Calibri"/>
        <scheme val="minor"/>
      </rPr>
      <t>Low:</t>
    </r>
    <r>
      <rPr>
        <sz val="11"/>
        <rFont val="Calibri"/>
        <scheme val="minor"/>
      </rPr>
      <t xml:space="preserve"> Provides a pesimistic scenario where costs are higher than expected and revenues are less than expected</t>
    </r>
  </si>
  <si>
    <r>
      <rPr>
        <b/>
        <sz val="11"/>
        <rFont val="Calibri"/>
        <scheme val="minor"/>
      </rPr>
      <t>Base:</t>
    </r>
    <r>
      <rPr>
        <sz val="11"/>
        <rFont val="Calibri"/>
        <scheme val="minor"/>
      </rPr>
      <t xml:space="preserve"> Provides a reasonable set of inputs and outputs that can then be adpated to the individual farm situation</t>
    </r>
  </si>
  <si>
    <r>
      <rPr>
        <b/>
        <sz val="11"/>
        <rFont val="Calibri"/>
        <scheme val="minor"/>
      </rPr>
      <t xml:space="preserve">Farmer Estimate: </t>
    </r>
    <r>
      <rPr>
        <sz val="11"/>
        <rFont val="Calibri"/>
        <scheme val="minor"/>
      </rPr>
      <t>Allows you to completely add and manipulate your own data. A starting point may be to scrutinise the values used in the base scearion and adapt to your own situation</t>
    </r>
  </si>
  <si>
    <t>Colour key</t>
  </si>
  <si>
    <t>Meaning</t>
  </si>
  <si>
    <t>Editable scenario inputs – farmer can change</t>
  </si>
  <si>
    <t>We would suggest you leave the high, low and base scenario data as it is but utilsie the "farmer estimate" column to provide a bespoke farm scenario for your own farm</t>
  </si>
  <si>
    <t>Scenario selector – choose Base / Low / High/ Farmer Estimate</t>
  </si>
  <si>
    <t>Used in model – formula driven, do not edit</t>
  </si>
  <si>
    <t>Calculated outputs / quick checks</t>
  </si>
  <si>
    <t>Topic</t>
  </si>
  <si>
    <t>Notes</t>
  </si>
  <si>
    <t>Source / URL</t>
  </si>
  <si>
    <t>How to use</t>
  </si>
  <si>
    <t>Model purpose</t>
  </si>
  <si>
    <t>Illustrative partial budget model for anaerobic digestion / biogas establishment on an EU farm. This focusses on the production of biogas for use in CHP. Further cost estimates are needed if you intend to take the further step of biomethanation</t>
  </si>
  <si>
    <t>Replace all defaults with farm-specific quotes in the farmer estimate exemplar, using more farm specific tariffs, feedstock data and costs related to obtaining permits.</t>
  </si>
  <si>
    <t>EU biomethane/biogas context</t>
  </si>
  <si>
    <t>EU policy and biomethane context varies by Member State and in some cases by region. It can also change over time.</t>
  </si>
  <si>
    <t>https://energy.ec.europa.eu/topics/renewable-energy/bioenergy/biomethane_en</t>
  </si>
  <si>
    <t>Use this for policy context, not project-specific financial assumptions.</t>
  </si>
  <si>
    <t>Biogas and biomethane overview</t>
  </si>
  <si>
    <t>Background on biogas/biomethane production, feedstocks and market prospects.</t>
  </si>
  <si>
    <t>https://www.iea.org/reports/outlook-for-biogas-and-biomethane-prospects-for-organic-growth</t>
  </si>
  <si>
    <t>Use for background; use local quotes for prices/capex.</t>
  </si>
  <si>
    <t>Anaerobic digestion guidance</t>
  </si>
  <si>
    <t>Operational and environmental guidance should be checked locally.</t>
  </si>
  <si>
    <t>https://www.europeanbiogas.eu/</t>
  </si>
  <si>
    <t>Check national biogas association, permitting body and grid operator requirements.</t>
  </si>
  <si>
    <t>Building your own case</t>
  </si>
  <si>
    <t>The Low/Base/High values are illustrative, not recommendations or forecasts.</t>
  </si>
  <si>
    <t>These values can be utilised to help produce your own "farmer estimate" scenario.</t>
  </si>
  <si>
    <t>Note: This partial budget is for illustrative purposes to give you some idea of whether further project development with a specialist advisor is worth taking forward</t>
  </si>
  <si>
    <t>Key Acronyms</t>
  </si>
  <si>
    <t>AD - Anaerobic Digester</t>
  </si>
  <si>
    <t>Capex - capital costs (building costs)</t>
  </si>
  <si>
    <t>CHP - Combined Heat and Power unit / generator</t>
  </si>
  <si>
    <t>KWh - Kilowatt hour</t>
  </si>
  <si>
    <t>NPV - Net Present Value</t>
  </si>
  <si>
    <t>Opex - operating costs</t>
  </si>
  <si>
    <t>O&amp;M - Operating and Maintenance</t>
  </si>
  <si>
    <t>EU Farm Biogas Plant – Partial Budget (Scenario) Template</t>
  </si>
  <si>
    <t>Edit yellow/blue cells only. Choose a scenario in B4 (Base/Low/High/Farmer Estimate). 'Used in model' updates automatically.</t>
  </si>
  <si>
    <t>Note the Farmer Estimate column allows the user to put in bespoke values of their own, which will then form a basis for the model.</t>
  </si>
  <si>
    <t>Note the period of analysis has been set in each sceanario for 25 years as an estimate of plant working life. You can change this if you wish.</t>
  </si>
  <si>
    <t>Scenario</t>
  </si>
  <si>
    <t>Base</t>
  </si>
  <si>
    <t xml:space="preserve"> </t>
  </si>
  <si>
    <t>Variable</t>
  </si>
  <si>
    <t>Units</t>
  </si>
  <si>
    <t>Low</t>
  </si>
  <si>
    <t>High</t>
  </si>
  <si>
    <t>Farmer Estimate</t>
  </si>
  <si>
    <t>Used in model</t>
  </si>
  <si>
    <t>Category</t>
  </si>
  <si>
    <t>Analysis period</t>
  </si>
  <si>
    <t>years</t>
  </si>
  <si>
    <t>How many years to model</t>
  </si>
  <si>
    <t>Model assumptions</t>
  </si>
  <si>
    <t>Economic Discount rate</t>
  </si>
  <si>
    <t>%</t>
  </si>
  <si>
    <t>Used for Net Present Value Calculation</t>
  </si>
  <si>
    <t>Electricity price escalation</t>
  </si>
  <si>
    <t>%/yr</t>
  </si>
  <si>
    <t>Predicted annual increase in grid electricity price</t>
  </si>
  <si>
    <t>Export price escalation</t>
  </si>
  <si>
    <t>Predicted annual increase in export/feed-in price</t>
  </si>
  <si>
    <t>Heat/fuel price escalation</t>
  </si>
  <si>
    <t>Predicted annual increase in heating/fuel price</t>
  </si>
  <si>
    <t>O&amp;M / cost escalation</t>
  </si>
  <si>
    <t>Predicted annual increase for operation and maintenance costs, labour and other recurring items</t>
  </si>
  <si>
    <t>Biogas output change</t>
  </si>
  <si>
    <t>Predicted annual performance change in kWh output</t>
  </si>
  <si>
    <t>Electrical capacity</t>
  </si>
  <si>
    <t>kW electric</t>
  </si>
  <si>
    <t>Combined Heat and Power generator electrical output capacity</t>
  </si>
  <si>
    <t>Plant and farm energy</t>
  </si>
  <si>
    <t>Full-load hours</t>
  </si>
  <si>
    <t>hours/year</t>
  </si>
  <si>
    <t>Expected operating hours per year</t>
  </si>
  <si>
    <t>Electricity used on farm</t>
  </si>
  <si>
    <t>% of generation</t>
  </si>
  <si>
    <t>Share of generated electricity used on-farm</t>
  </si>
  <si>
    <t>Useful heat recovered</t>
  </si>
  <si>
    <t>kWh heat/year</t>
  </si>
  <si>
    <t>Useful heat that can displace existing fuel use</t>
  </si>
  <si>
    <t>Current electricity purchased</t>
  </si>
  <si>
    <t>kWh/year</t>
  </si>
  <si>
    <t>Baseline electricity purchase before biogas plant installed</t>
  </si>
  <si>
    <t>Current heat/fuel demand offset</t>
  </si>
  <si>
    <t>Baseline heat/fuel that biogas heat can replace once operational</t>
  </si>
  <si>
    <t>Avoided electricity purchase price</t>
  </si>
  <si>
    <t>€/kWh</t>
  </si>
  <si>
    <t>Farm electricity import price in Year 1</t>
  </si>
  <si>
    <t>Benefits and revenue</t>
  </si>
  <si>
    <t>Export electricity / feed-in price</t>
  </si>
  <si>
    <t>Price paid for exported electricity in Year 1</t>
  </si>
  <si>
    <t>Avoided heat/fuel price</t>
  </si>
  <si>
    <t>Heating/fuel cost replaced in Year 1</t>
  </si>
  <si>
    <t>Waste acceptance income</t>
  </si>
  <si>
    <t>€/year</t>
  </si>
  <si>
    <t>Annual income from accepted wastes, if applicable</t>
  </si>
  <si>
    <t>Digestate nutrient value</t>
  </si>
  <si>
    <t>Estimated value of fertiliser nutrients/soil benefits from digestate used</t>
  </si>
  <si>
    <t>Other support / premium</t>
  </si>
  <si>
    <t>Any feed-in premium, certificate income or other annual support</t>
  </si>
  <si>
    <t>Additional feedstock purchase/transport</t>
  </si>
  <si>
    <t>Extra feedstock costs for biogas plant vs baseline</t>
  </si>
  <si>
    <t>Added annual costs</t>
  </si>
  <si>
    <t>O&amp;M as % of gross capex</t>
  </si>
  <si>
    <t>% of capex</t>
  </si>
  <si>
    <t>Annual operating and maintenance as % of gross capex</t>
  </si>
  <si>
    <t>Labour / management cost</t>
  </si>
  <si>
    <t>Estimated additional labour and management cost per annum</t>
  </si>
  <si>
    <t>Insurance, permits, testing</t>
  </si>
  <si>
    <t>Compliance, insurance and routine testing costs per year</t>
  </si>
  <si>
    <t>Digestate storage/spreading cost</t>
  </si>
  <si>
    <t>Additional handling and spreading costs related to digestate used</t>
  </si>
  <si>
    <t>Installed plant CAPEX</t>
  </si>
  <si>
    <t>€/kW electric</t>
  </si>
  <si>
    <t>Installed AD/CHP plant cost per kW electric</t>
  </si>
  <si>
    <t>Investment and grants</t>
  </si>
  <si>
    <t>Electric grid connection and civil works related to gas production</t>
  </si>
  <si>
    <t>€</t>
  </si>
  <si>
    <t>Connection, buildings, civils and electical grid connections and gas works at start of project.</t>
  </si>
  <si>
    <t>Grant / subsidy on capex</t>
  </si>
  <si>
    <t>% of eligible capex</t>
  </si>
  <si>
    <t>Share of eligible capex covered by grant/subsidy</t>
  </si>
  <si>
    <t>Working capital / pre-opening costs</t>
  </si>
  <si>
    <t>Start-up, permits, commissioning and working capital</t>
  </si>
  <si>
    <t>Major overhaul year</t>
  </si>
  <si>
    <t>year</t>
  </si>
  <si>
    <t>Enter 0 if no major overhaul is modelled</t>
  </si>
  <si>
    <t>Major overhaul cost</t>
  </si>
  <si>
    <t>Major engine/digester overhaul cost, calculated using NPV</t>
  </si>
  <si>
    <t>Reduced existing costs (optional)</t>
  </si>
  <si>
    <t>Other baseline costs avoided by the project, for instance…..</t>
  </si>
  <si>
    <t>Optional impacts</t>
  </si>
  <si>
    <t xml:space="preserve">Reduced existing returns </t>
  </si>
  <si>
    <t>Income lost due to land/feedstock diversion or other effects</t>
  </si>
  <si>
    <t>Year 1 quick check (based on 'Used in model')</t>
  </si>
  <si>
    <t>Gross investment</t>
  </si>
  <si>
    <t>Total Capex cost estimates at the start of the project</t>
  </si>
  <si>
    <t>Grant amount</t>
  </si>
  <si>
    <t>This the calculated grant based on estimate of percentage grant as a percentage of total initial CAPEX</t>
  </si>
  <si>
    <t>Net upfront cost</t>
  </si>
  <si>
    <t>Net costs which is total capex minus any grants received</t>
  </si>
  <si>
    <t>Electricity generated (kWh)</t>
  </si>
  <si>
    <t>This is the electric capacity of the CHP multiplied by the number of hours per year being used at full capacity</t>
  </si>
  <si>
    <t>Self-used electricity (kWh)</t>
  </si>
  <si>
    <t>This is the amount of electricity that will be used internally on the farm in a given year</t>
  </si>
  <si>
    <t>Exported electricity (kWh)</t>
  </si>
  <si>
    <t>This the amount of electricity which is available for export [total production minus that which is used on farm]</t>
  </si>
  <si>
    <t>Useful heat offset (kWh)</t>
  </si>
  <si>
    <t>The amount of heat produced by installed plant that can be used internally to offset previously purchased heat</t>
  </si>
  <si>
    <t>Electricity bill savings (€)</t>
  </si>
  <si>
    <t>This is the amount of self used electricity multiplied by the price if that electric needed to be purchased on the open market</t>
  </si>
  <si>
    <t>Export electricity income (€)</t>
  </si>
  <si>
    <t>This is the amount of exported electricity multiplied by the price per unit received for that exported electric</t>
  </si>
  <si>
    <t>Heat/fuel savings (€)</t>
  </si>
  <si>
    <t>This is the amount of self used heat multiplied by the price per unit if that heat needed to be purchased on the open market</t>
  </si>
  <si>
    <t>Other annual benefits (€)</t>
  </si>
  <si>
    <t>These are the culmination of additional benefits deriving from fees received for imported waste, the value of the digestate generated, additional feed-in premiums or other baseline costs avoided because of the project</t>
  </si>
  <si>
    <t>Added annual costs (€)</t>
  </si>
  <si>
    <t>These are the total added cost of the project related to the cost of installed plant, grid connection costs, extra feedstock purchased, operation and maintenace costs, labour, insurance and digestate storage and spreading</t>
  </si>
  <si>
    <t>Reduced returns (€)</t>
  </si>
  <si>
    <t>Net annual change (Year 1)</t>
  </si>
  <si>
    <t>A summary of total additional revenue minus total additional costs</t>
  </si>
  <si>
    <t xml:space="preserve">** Economic Discount Rate: </t>
  </si>
  <si>
    <t xml:space="preserve">The choice of this rate can make a significant difference to the projected profitability of a new enterprise. It will be important to get advice or consult the financial literature on what is a sensible rate to include in your calculations. </t>
  </si>
  <si>
    <t>At the time of writing 4% seems to provide a reasonable value, https://ansperformance.eu/economics/cba/standard-inputs/v9.0.3/chapters/discount_rate.html</t>
  </si>
  <si>
    <t>Economic Discount Rate is a measure used to compare the value of monetary sums today with sums in the future to explore the value of an investment (biogas) over its' lifespan.</t>
  </si>
  <si>
    <t>Biogas plant annual cashflow calculations</t>
  </si>
  <si>
    <t>Year</t>
  </si>
  <si>
    <t>Active year</t>
  </si>
  <si>
    <t>Gate fee income (€)</t>
  </si>
  <si>
    <t>Digestate nutrient value (€)</t>
  </si>
  <si>
    <t>Other support / premium (€)</t>
  </si>
  <si>
    <t>Reduced existing costs (€)</t>
  </si>
  <si>
    <t>Total benefits (€)</t>
  </si>
  <si>
    <t>Feedstock cost (€)</t>
  </si>
  <si>
    <t>O&amp;M cost (€)</t>
  </si>
  <si>
    <t>Labour / management cost (€)</t>
  </si>
  <si>
    <t>Insurance, permits, testing (€)</t>
  </si>
  <si>
    <t>Digestate storage/spreading cost (€)</t>
  </si>
  <si>
    <t>Reduced existing returns (€)</t>
  </si>
  <si>
    <t>Major overhaul (€)</t>
  </si>
  <si>
    <t>Total costs (€)</t>
  </si>
  <si>
    <t>Net operating cashflow (€)</t>
  </si>
  <si>
    <t>Capital cashflow (€)</t>
  </si>
  <si>
    <t>Net cashflow (€)</t>
  </si>
  <si>
    <t>Discount factor</t>
  </si>
  <si>
    <t>Discounted cashflow (€)</t>
  </si>
  <si>
    <t>Cumulative cashflow (€)</t>
  </si>
  <si>
    <t>Farm Biogas Plant – Partial Budget Summary</t>
  </si>
  <si>
    <t>Selected scenario</t>
  </si>
  <si>
    <t>Year 1 partial budget view</t>
  </si>
  <si>
    <t>Benefits</t>
  </si>
  <si>
    <t>Added returns</t>
  </si>
  <si>
    <t>Reduced costs</t>
  </si>
  <si>
    <t>Total benefits</t>
  </si>
  <si>
    <t>Year 1 total benefits</t>
  </si>
  <si>
    <t>Year 1 total costs</t>
  </si>
  <si>
    <t>Costs</t>
  </si>
  <si>
    <t>Year 1 net annual change</t>
  </si>
  <si>
    <t>Added costs</t>
  </si>
  <si>
    <t>NPV for 25 years</t>
  </si>
  <si>
    <t>Reduced returns</t>
  </si>
  <si>
    <t>Simple payback year</t>
  </si>
  <si>
    <t>Total costs</t>
  </si>
  <si>
    <t>Total undiscounted net cashflow</t>
  </si>
  <si>
    <t>Net annual change</t>
  </si>
  <si>
    <t>Benefit-cost ratio (discounted)</t>
  </si>
  <si>
    <t>Net cashflow</t>
  </si>
  <si>
    <t>Cumulative cashflow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</si>
</sst>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Red]\-\€#,##0"/>
    <numFmt numFmtId="166" formatCode="0.000"/>
    <numFmt numFmtId="167" formatCode="\€0.000"/>
    <numFmt numFmtId="168" formatCode="\€#,##0"/>
    <numFmt numFmtId="169" formatCode="0.0000"/>
    <numFmt numFmtId="170" formatCode="[$€-2]\ #,##0.000"/>
    <numFmt numFmtId="171" formatCode="[$€-813]\ #,##0"/>
    <numFmt numFmtId="172" formatCode="[$€-2]\ #,##0"/>
    <numFmt numFmtId="173" formatCode="[$€-413]\ #,##0"/>
    <numFmt numFmtId="174" formatCode="#,##0\ [$€-407]"/>
  </numFmts>
  <fonts count="28">
    <font>
      <sz val="11"/>
      <name val="Carlito"/>
    </font>
    <font>
      <sz val="11"/>
      <color theme="1"/>
      <name val="Calibri"/>
      <scheme val="minor"/>
    </font>
    <font>
      <b/>
      <sz val="16"/>
      <color rgb="FFFFFFFF"/>
      <name val="Carlito"/>
    </font>
    <font>
      <b/>
      <sz val="11"/>
      <name val="Carlito"/>
    </font>
    <font>
      <b/>
      <sz val="11"/>
      <color rgb="FFFFFFFF"/>
      <name val="Carlito"/>
    </font>
    <font>
      <b/>
      <sz val="14"/>
      <color rgb="FFFFFFFF"/>
      <name val="Carlito"/>
    </font>
    <font>
      <b/>
      <sz val="11"/>
      <color rgb="FF1F4E3D"/>
      <name val="Carlito"/>
    </font>
    <font>
      <u/>
      <sz val="11"/>
      <color theme="10"/>
      <name val="Carlito"/>
    </font>
    <font>
      <sz val="11"/>
      <name val="Calibri"/>
      <scheme val="minor"/>
    </font>
    <font>
      <b/>
      <sz val="11"/>
      <name val="Calibri"/>
      <scheme val="minor"/>
    </font>
    <font>
      <b/>
      <sz val="11"/>
      <color rgb="FFFFFFFF"/>
      <name val="Calibri"/>
      <scheme val="minor"/>
    </font>
    <font>
      <sz val="10"/>
      <name val="Calibri"/>
      <scheme val="minor"/>
    </font>
    <font>
      <b/>
      <sz val="14"/>
      <color rgb="FFFFFFFF"/>
      <name val="Calibri"/>
      <scheme val="minor"/>
    </font>
    <font>
      <u/>
      <sz val="11"/>
      <color theme="10"/>
      <name val="Calibri"/>
      <scheme val="minor"/>
    </font>
    <font>
      <b/>
      <sz val="10"/>
      <color rgb="FF000000"/>
      <name val="Calibri"/>
      <scheme val="minor"/>
    </font>
    <font>
      <b/>
      <sz val="14"/>
      <color theme="0"/>
      <name val="Calibri"/>
      <family val="2"/>
      <scheme val="minor"/>
    </font>
    <font>
      <b/>
      <sz val="14"/>
      <color rgb="FFFFFFFF"/>
      <name val="Calibri"/>
      <family val="2"/>
      <scheme val="minor"/>
    </font>
    <font>
      <sz val="11"/>
      <name val="Calibri"/>
      <family val="2"/>
      <scheme val="minor"/>
    </font>
    <font>
      <i/>
      <sz val="11"/>
      <color rgb="FF1F1F1F"/>
      <name val="Calibri"/>
      <family val="2"/>
      <scheme val="minor"/>
    </font>
    <font>
      <b/>
      <sz val="11"/>
      <color rgb="FFFFFFFF"/>
      <name val="Calibri"/>
      <family val="2"/>
      <scheme val="minor"/>
    </font>
    <font>
      <b/>
      <sz val="11"/>
      <color rgb="FF1F4E79"/>
      <name val="Calibri"/>
      <family val="2"/>
      <scheme val="minor"/>
    </font>
    <font>
      <sz val="11"/>
      <color rgb="FF1F1F1F"/>
      <name val="Calibri"/>
      <family val="2"/>
      <scheme val="minor"/>
    </font>
    <font>
      <sz val="11"/>
      <color rgb="FF1F4E79"/>
      <name val="Calibri"/>
      <family val="2"/>
      <scheme val="minor"/>
    </font>
    <font>
      <b/>
      <sz val="11"/>
      <color rgb="FF1F4E3D"/>
      <name val="Calibri"/>
      <family val="2"/>
      <scheme val="minor"/>
    </font>
    <font>
      <sz val="11"/>
      <color rgb="FF595959"/>
      <name val="Calibri"/>
      <family val="2"/>
      <scheme val="minor"/>
    </font>
    <font>
      <sz val="9"/>
      <color rgb="FF666666"/>
      <name val="Calibri"/>
      <family val="2"/>
      <scheme val="minor"/>
    </font>
    <font>
      <b/>
      <sz val="11"/>
      <name val="Calibri"/>
      <family val="2"/>
      <scheme val="minor"/>
    </font>
    <font>
      <b/>
      <sz val="11"/>
      <color rgb="FF1F1F1F"/>
      <name val="Calibri"/>
      <family val="2"/>
      <scheme val="minor"/>
    </font>
  </fonts>
  <fills count="17">
    <fill>
      <patternFill patternType="none"/>
    </fill>
    <fill>
      <patternFill patternType="gray125"/>
    </fill>
    <fill>
      <patternFill patternType="solid">
        <fgColor rgb="FF134E4A"/>
      </patternFill>
    </fill>
    <fill>
      <patternFill patternType="solid">
        <fgColor rgb="FFF8FAFC"/>
      </patternFill>
    </fill>
    <fill>
      <patternFill patternType="solid">
        <fgColor rgb="FFF0F7EC"/>
      </patternFill>
    </fill>
    <fill>
      <patternFill patternType="solid">
        <fgColor rgb="FFFCE4D6"/>
      </patternFill>
    </fill>
    <fill>
      <patternFill patternType="solid">
        <fgColor rgb="FF70AD47"/>
      </patternFill>
    </fill>
    <fill>
      <patternFill patternType="solid">
        <fgColor rgb="FFFFFFFF"/>
      </patternFill>
    </fill>
    <fill>
      <patternFill patternType="solid">
        <fgColor rgb="FFFFF2CC"/>
      </patternFill>
    </fill>
    <fill>
      <patternFill patternType="solid">
        <fgColor rgb="FFE2F0D9"/>
      </patternFill>
    </fill>
    <fill>
      <patternFill patternType="solid">
        <fgColor rgb="FFF2F2F2"/>
      </patternFill>
    </fill>
    <fill>
      <patternFill patternType="solid">
        <fgColor rgb="FFF8F9FA"/>
      </patternFill>
    </fill>
    <fill>
      <patternFill patternType="solid">
        <fgColor rgb="FFE7E6E6"/>
      </patternFill>
    </fill>
    <fill>
      <patternFill patternType="solid">
        <fgColor theme="2"/>
        <bgColor indexed="64"/>
      </patternFill>
    </fill>
    <fill>
      <patternFill patternType="solid">
        <fgColor theme="9" tint="0.79998168889431442"/>
        <bgColor indexed="64"/>
      </patternFill>
    </fill>
    <fill>
      <patternFill patternType="solid">
        <fgColor rgb="FF80944C"/>
        <bgColor indexed="64"/>
      </patternFill>
    </fill>
    <fill>
      <patternFill patternType="solid">
        <fgColor rgb="FFF9B333"/>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78">
    <xf numFmtId="0" fontId="0" fillId="0" borderId="0" xfId="0"/>
    <xf numFmtId="165" fontId="0" fillId="0" borderId="0" xfId="0" applyNumberFormat="1"/>
    <xf numFmtId="0" fontId="6" fillId="9" borderId="0" xfId="0" applyFont="1" applyFill="1"/>
    <xf numFmtId="165" fontId="6" fillId="9" borderId="0" xfId="0" applyNumberFormat="1" applyFont="1" applyFill="1"/>
    <xf numFmtId="0" fontId="3" fillId="12" borderId="0" xfId="0" applyFont="1" applyFill="1"/>
    <xf numFmtId="1" fontId="6" fillId="9" borderId="0" xfId="0" applyNumberFormat="1" applyFont="1" applyFill="1"/>
    <xf numFmtId="2" fontId="6" fillId="9" borderId="0" xfId="0" applyNumberFormat="1" applyFont="1" applyFill="1"/>
    <xf numFmtId="0" fontId="4" fillId="0" borderId="0" xfId="0" applyFont="1" applyAlignment="1">
      <alignment horizontal="center"/>
    </xf>
    <xf numFmtId="0" fontId="8" fillId="0" borderId="0" xfId="0" applyFont="1"/>
    <xf numFmtId="0" fontId="9" fillId="0" borderId="0" xfId="0" applyFont="1"/>
    <xf numFmtId="0" fontId="8" fillId="8" borderId="0" xfId="0" applyFont="1" applyFill="1"/>
    <xf numFmtId="0" fontId="11" fillId="0" borderId="0" xfId="0" applyFont="1" applyAlignment="1">
      <alignment wrapText="1"/>
    </xf>
    <xf numFmtId="0" fontId="8" fillId="5" borderId="0" xfId="0" applyFont="1" applyFill="1"/>
    <xf numFmtId="0" fontId="8" fillId="9" borderId="0" xfId="0" applyFont="1" applyFill="1"/>
    <xf numFmtId="0" fontId="8" fillId="12" borderId="0" xfId="0" applyFont="1" applyFill="1"/>
    <xf numFmtId="0" fontId="8" fillId="0" borderId="0" xfId="0" applyFont="1" applyAlignment="1">
      <alignment vertical="top" wrapText="1"/>
    </xf>
    <xf numFmtId="0" fontId="8" fillId="0" borderId="0" xfId="0" applyFont="1" applyAlignment="1">
      <alignment wrapText="1"/>
    </xf>
    <xf numFmtId="0" fontId="13" fillId="0" borderId="0" xfId="1" applyFont="1" applyAlignment="1">
      <alignment wrapText="1"/>
    </xf>
    <xf numFmtId="0" fontId="14" fillId="0" borderId="0" xfId="0" applyFont="1"/>
    <xf numFmtId="0" fontId="1" fillId="0" borderId="0" xfId="0" applyFont="1" applyAlignment="1">
      <alignment vertical="center"/>
    </xf>
    <xf numFmtId="0" fontId="12" fillId="0" borderId="0" xfId="0" applyFont="1" applyAlignment="1">
      <alignment horizontal="center" wrapText="1"/>
    </xf>
    <xf numFmtId="0" fontId="8" fillId="15" borderId="0" xfId="0" applyFont="1" applyFill="1"/>
    <xf numFmtId="0" fontId="15" fillId="15" borderId="0" xfId="0" applyFont="1" applyFill="1"/>
    <xf numFmtId="0" fontId="10" fillId="15" borderId="0" xfId="0" applyFont="1" applyFill="1" applyAlignment="1">
      <alignment horizontal="center"/>
    </xf>
    <xf numFmtId="0" fontId="10" fillId="15" borderId="0" xfId="0" applyFont="1" applyFill="1"/>
    <xf numFmtId="0" fontId="4" fillId="15" borderId="0" xfId="0" applyFont="1" applyFill="1" applyAlignment="1">
      <alignment horizontal="center"/>
    </xf>
    <xf numFmtId="0" fontId="16" fillId="15" borderId="0" xfId="0" applyFont="1" applyFill="1" applyAlignment="1">
      <alignment horizontal="center" vertical="center"/>
    </xf>
    <xf numFmtId="0" fontId="17" fillId="15" borderId="0" xfId="0" applyFont="1" applyFill="1"/>
    <xf numFmtId="0" fontId="18" fillId="4" borderId="0" xfId="0" applyFont="1" applyFill="1" applyAlignment="1">
      <alignment wrapText="1"/>
    </xf>
    <xf numFmtId="0" fontId="17" fillId="0" borderId="0" xfId="0" applyFont="1"/>
    <xf numFmtId="0" fontId="18" fillId="4" borderId="0" xfId="0" applyFont="1" applyFill="1"/>
    <xf numFmtId="0" fontId="18" fillId="4" borderId="0" xfId="0" applyFont="1" applyFill="1" applyAlignment="1">
      <alignment wrapText="1"/>
    </xf>
    <xf numFmtId="0" fontId="18" fillId="14" borderId="0" xfId="0" applyFont="1" applyFill="1"/>
    <xf numFmtId="0" fontId="19" fillId="15" borderId="0" xfId="0" applyFont="1" applyFill="1" applyAlignment="1">
      <alignment horizontal="center"/>
    </xf>
    <xf numFmtId="0" fontId="20" fillId="5" borderId="0" xfId="0" applyFont="1" applyFill="1" applyAlignment="1" applyProtection="1">
      <alignment horizontal="center"/>
      <protection locked="0"/>
    </xf>
    <xf numFmtId="169" fontId="17" fillId="0" borderId="0" xfId="0" applyNumberFormat="1" applyFont="1"/>
    <xf numFmtId="0" fontId="19" fillId="15" borderId="0" xfId="0" applyFont="1" applyFill="1" applyAlignment="1">
      <alignment horizontal="center" vertical="center"/>
    </xf>
    <xf numFmtId="169" fontId="19" fillId="6" borderId="0" xfId="0" applyNumberFormat="1" applyFont="1" applyFill="1" applyAlignment="1">
      <alignment horizontal="center" vertical="center"/>
    </xf>
    <xf numFmtId="0" fontId="21" fillId="7" borderId="0" xfId="0" applyFont="1" applyFill="1" applyAlignment="1">
      <alignment wrapText="1"/>
    </xf>
    <xf numFmtId="3" fontId="22" fillId="8" borderId="0" xfId="0" applyNumberFormat="1" applyFont="1" applyFill="1" applyAlignment="1">
      <alignment horizontal="right" wrapText="1"/>
    </xf>
    <xf numFmtId="1" fontId="23" fillId="9" borderId="0" xfId="0" applyNumberFormat="1" applyFont="1" applyFill="1" applyAlignment="1">
      <alignment horizontal="right" wrapText="1"/>
    </xf>
    <xf numFmtId="0" fontId="24" fillId="10" borderId="0" xfId="0" applyFont="1" applyFill="1" applyAlignment="1">
      <alignment wrapText="1"/>
    </xf>
    <xf numFmtId="0" fontId="25" fillId="11" borderId="0" xfId="0" applyFont="1" applyFill="1" applyAlignment="1">
      <alignment wrapText="1"/>
    </xf>
    <xf numFmtId="164" fontId="22" fillId="8" borderId="0" xfId="0" applyNumberFormat="1" applyFont="1" applyFill="1" applyAlignment="1">
      <alignment horizontal="right" wrapText="1"/>
    </xf>
    <xf numFmtId="164" fontId="23" fillId="9" borderId="0" xfId="0" applyNumberFormat="1" applyFont="1" applyFill="1" applyAlignment="1">
      <alignment horizontal="right" wrapText="1"/>
    </xf>
    <xf numFmtId="167" fontId="22" fillId="8" borderId="0" xfId="0" applyNumberFormat="1" applyFont="1" applyFill="1" applyAlignment="1">
      <alignment horizontal="right" wrapText="1"/>
    </xf>
    <xf numFmtId="170" fontId="23" fillId="9" borderId="0" xfId="0" applyNumberFormat="1" applyFont="1" applyFill="1" applyAlignment="1">
      <alignment horizontal="right" wrapText="1"/>
    </xf>
    <xf numFmtId="168" fontId="22" fillId="8" borderId="0" xfId="0" applyNumberFormat="1" applyFont="1" applyFill="1" applyAlignment="1">
      <alignment horizontal="right" wrapText="1"/>
    </xf>
    <xf numFmtId="172" fontId="23" fillId="9" borderId="0" xfId="0" applyNumberFormat="1" applyFont="1" applyFill="1" applyAlignment="1">
      <alignment horizontal="right" wrapText="1"/>
    </xf>
    <xf numFmtId="0" fontId="24" fillId="13" borderId="0" xfId="0" applyFont="1" applyFill="1" applyAlignment="1">
      <alignment wrapText="1"/>
    </xf>
    <xf numFmtId="171" fontId="23" fillId="9" borderId="0" xfId="0" applyNumberFormat="1" applyFont="1" applyFill="1" applyAlignment="1">
      <alignment horizontal="right" wrapText="1"/>
    </xf>
    <xf numFmtId="173" fontId="23" fillId="9" borderId="0" xfId="0" applyNumberFormat="1" applyFont="1" applyFill="1" applyAlignment="1">
      <alignment horizontal="right" wrapText="1"/>
    </xf>
    <xf numFmtId="174" fontId="23" fillId="9" borderId="0" xfId="0" applyNumberFormat="1" applyFont="1" applyFill="1" applyAlignment="1">
      <alignment horizontal="right" wrapText="1"/>
    </xf>
    <xf numFmtId="168" fontId="22" fillId="8" borderId="0" xfId="0" applyNumberFormat="1" applyFont="1" applyFill="1" applyAlignment="1">
      <alignment horizontal="right"/>
    </xf>
    <xf numFmtId="169" fontId="23" fillId="9" borderId="0" xfId="0" applyNumberFormat="1" applyFont="1" applyFill="1" applyAlignment="1">
      <alignment horizontal="right"/>
    </xf>
    <xf numFmtId="0" fontId="19" fillId="2" borderId="0" xfId="0" applyFont="1" applyFill="1"/>
    <xf numFmtId="169" fontId="19" fillId="2" borderId="0" xfId="0" applyNumberFormat="1" applyFont="1" applyFill="1"/>
    <xf numFmtId="0" fontId="19" fillId="0" borderId="0" xfId="0" applyFont="1"/>
    <xf numFmtId="169" fontId="19" fillId="0" borderId="0" xfId="0" applyNumberFormat="1" applyFont="1"/>
    <xf numFmtId="0" fontId="26" fillId="0" borderId="0" xfId="0" applyFont="1"/>
    <xf numFmtId="165" fontId="26" fillId="0" borderId="0" xfId="0" applyNumberFormat="1" applyFont="1"/>
    <xf numFmtId="169" fontId="26" fillId="0" borderId="0" xfId="0" applyNumberFormat="1" applyFont="1"/>
    <xf numFmtId="0" fontId="27" fillId="12" borderId="0" xfId="0" applyFont="1" applyFill="1"/>
    <xf numFmtId="168" fontId="23" fillId="9" borderId="0" xfId="0" applyNumberFormat="1" applyFont="1" applyFill="1" applyAlignment="1">
      <alignment horizontal="right"/>
    </xf>
    <xf numFmtId="3" fontId="23" fillId="9" borderId="0" xfId="0" applyNumberFormat="1" applyFont="1" applyFill="1" applyAlignment="1">
      <alignment horizontal="right"/>
    </xf>
    <xf numFmtId="0" fontId="26" fillId="3" borderId="0" xfId="0" applyFont="1" applyFill="1" applyAlignment="1">
      <alignment wrapText="1"/>
    </xf>
    <xf numFmtId="3" fontId="17" fillId="0" borderId="0" xfId="0" applyNumberFormat="1" applyFont="1"/>
    <xf numFmtId="165" fontId="17" fillId="0" borderId="0" xfId="0" applyNumberFormat="1" applyFont="1"/>
    <xf numFmtId="166" fontId="17" fillId="0" borderId="0" xfId="0" applyNumberFormat="1" applyFont="1"/>
    <xf numFmtId="0" fontId="16" fillId="15" borderId="0" xfId="0" applyFont="1" applyFill="1" applyAlignment="1">
      <alignment horizontal="center"/>
    </xf>
    <xf numFmtId="0" fontId="5" fillId="15" borderId="0" xfId="0" applyFont="1" applyFill="1" applyAlignment="1">
      <alignment horizontal="center"/>
    </xf>
    <xf numFmtId="0" fontId="2" fillId="15" borderId="0" xfId="0" applyFont="1" applyFill="1" applyAlignment="1">
      <alignment horizontal="center"/>
    </xf>
    <xf numFmtId="0" fontId="4" fillId="15" borderId="0" xfId="0" applyFont="1" applyFill="1" applyAlignment="1">
      <alignment horizontal="center"/>
    </xf>
    <xf numFmtId="0" fontId="0" fillId="15" borderId="0" xfId="0" applyFill="1"/>
    <xf numFmtId="0" fontId="4" fillId="15" borderId="0" xfId="0" applyFont="1" applyFill="1"/>
    <xf numFmtId="0" fontId="4" fillId="16" borderId="0" xfId="0" applyFont="1" applyFill="1" applyAlignment="1">
      <alignment horizontal="center"/>
    </xf>
    <xf numFmtId="165" fontId="4" fillId="16" borderId="0" xfId="0" applyNumberFormat="1" applyFont="1" applyFill="1" applyAlignment="1">
      <alignment horizontal="center"/>
    </xf>
    <xf numFmtId="0" fontId="8" fillId="16"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9B333"/>
      <color rgb="FF6F844A"/>
      <color rgb="FF80944C"/>
      <color rgb="FF000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GB"/>
              <a:t>Annual net cashflow</a:t>
            </a:r>
          </a:p>
        </c:rich>
      </c:tx>
      <c:overlay val="0"/>
    </c:title>
    <c:autoTitleDeleted val="0"/>
    <c:plotArea>
      <c:layout/>
      <c:barChart>
        <c:barDir val="col"/>
        <c:grouping val="clustered"/>
        <c:varyColors val="0"/>
        <c:ser>
          <c:idx val="0"/>
          <c:order val="0"/>
          <c:tx>
            <c:v>Net cashflow</c:v>
          </c:tx>
          <c:invertIfNegative val="1"/>
          <c:cat>
            <c:numRef>
              <c:f>Summary!$A$18:$A$43</c:f>
              <c:numCache>
                <c:formatCode>General</c:formatCode>
                <c:ptCount val="2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numCache>
            </c:numRef>
          </c:cat>
          <c:val>
            <c:numRef>
              <c:f>Summary!$B$18:$B$43</c:f>
              <c:numCache>
                <c:formatCode>\€#,##0;[Red]\-\€#,##0</c:formatCode>
                <c:ptCount val="26"/>
                <c:pt idx="0">
                  <c:v>-1170000</c:v>
                </c:pt>
                <c:pt idx="1">
                  <c:v>123250</c:v>
                </c:pt>
                <c:pt idx="2">
                  <c:v>125530</c:v>
                </c:pt>
                <c:pt idx="3">
                  <c:v>127850.04999999999</c:v>
                </c:pt>
                <c:pt idx="4">
                  <c:v>130210.78449999998</c:v>
                </c:pt>
                <c:pt idx="5">
                  <c:v>132612.84569500003</c:v>
                </c:pt>
                <c:pt idx="6">
                  <c:v>135056.88347904998</c:v>
                </c:pt>
                <c:pt idx="7">
                  <c:v>137543.55544488554</c:v>
                </c:pt>
                <c:pt idx="8">
                  <c:v>140073.52687892533</c:v>
                </c:pt>
                <c:pt idx="9">
                  <c:v>142647.47075140025</c:v>
                </c:pt>
                <c:pt idx="10">
                  <c:v>-17830.580277284025</c:v>
                </c:pt>
                <c:pt idx="11">
                  <c:v>147930.00601639057</c:v>
                </c:pt>
                <c:pt idx="12">
                  <c:v>150639.98160653966</c:v>
                </c:pt>
                <c:pt idx="13">
                  <c:v>153396.69797258638</c:v>
                </c:pt>
                <c:pt idx="14">
                  <c:v>156200.86616797157</c:v>
                </c:pt>
                <c:pt idx="15">
                  <c:v>159053.20475434256</c:v>
                </c:pt>
                <c:pt idx="16">
                  <c:v>161954.4397503311</c:v>
                </c:pt>
                <c:pt idx="17">
                  <c:v>164905.30457326677</c:v>
                </c:pt>
                <c:pt idx="18">
                  <c:v>167906.53997349873</c:v>
                </c:pt>
                <c:pt idx="19">
                  <c:v>170958.89396099845</c:v>
                </c:pt>
                <c:pt idx="20">
                  <c:v>174063.12172388902</c:v>
                </c:pt>
                <c:pt idx="21">
                  <c:v>177219.98553854757</c:v>
                </c:pt>
                <c:pt idx="22">
                  <c:v>180430.2546709046</c:v>
                </c:pt>
                <c:pt idx="23">
                  <c:v>183694.7052685566</c:v>
                </c:pt>
                <c:pt idx="24">
                  <c:v>187014.12024328834</c:v>
                </c:pt>
                <c:pt idx="25">
                  <c:v>190389.28914359573</c:v>
                </c:pt>
              </c:numCache>
            </c:numRef>
          </c:val>
          <c:extLst>
            <c:ext xmlns:c16="http://schemas.microsoft.com/office/drawing/2014/chart" uri="{C3380CC4-5D6E-409C-BE32-E72D297353CC}">
              <c16:uniqueId val="{00000000-3453-4E5D-9D09-41D181BEFB6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GB"/>
              <a:t>Cumulative cashflow</a:t>
            </a:r>
          </a:p>
        </c:rich>
      </c:tx>
      <c:overlay val="0"/>
    </c:title>
    <c:autoTitleDeleted val="0"/>
    <c:plotArea>
      <c:layout/>
      <c:lineChart>
        <c:grouping val="standard"/>
        <c:varyColors val="0"/>
        <c:ser>
          <c:idx val="0"/>
          <c:order val="0"/>
          <c:tx>
            <c:v>Net cashflow</c:v>
          </c:tx>
          <c:cat>
            <c:numRef>
              <c:f>Summary!$A$18:$A$43</c:f>
              <c:numCache>
                <c:formatCode>General</c:formatCode>
                <c:ptCount val="2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numCache>
            </c:numRef>
          </c:cat>
          <c:val>
            <c:numRef>
              <c:f>Summary!$B$18:$B$43</c:f>
              <c:numCache>
                <c:formatCode>\€#,##0;[Red]\-\€#,##0</c:formatCode>
                <c:ptCount val="26"/>
                <c:pt idx="0">
                  <c:v>-1170000</c:v>
                </c:pt>
                <c:pt idx="1">
                  <c:v>123250</c:v>
                </c:pt>
                <c:pt idx="2">
                  <c:v>125530</c:v>
                </c:pt>
                <c:pt idx="3">
                  <c:v>127850.04999999999</c:v>
                </c:pt>
                <c:pt idx="4">
                  <c:v>130210.78449999998</c:v>
                </c:pt>
                <c:pt idx="5">
                  <c:v>132612.84569500003</c:v>
                </c:pt>
                <c:pt idx="6">
                  <c:v>135056.88347904998</c:v>
                </c:pt>
                <c:pt idx="7">
                  <c:v>137543.55544488554</c:v>
                </c:pt>
                <c:pt idx="8">
                  <c:v>140073.52687892533</c:v>
                </c:pt>
                <c:pt idx="9">
                  <c:v>142647.47075140025</c:v>
                </c:pt>
                <c:pt idx="10">
                  <c:v>-17830.580277284025</c:v>
                </c:pt>
                <c:pt idx="11">
                  <c:v>147930.00601639057</c:v>
                </c:pt>
                <c:pt idx="12">
                  <c:v>150639.98160653966</c:v>
                </c:pt>
                <c:pt idx="13">
                  <c:v>153396.69797258638</c:v>
                </c:pt>
                <c:pt idx="14">
                  <c:v>156200.86616797157</c:v>
                </c:pt>
                <c:pt idx="15">
                  <c:v>159053.20475434256</c:v>
                </c:pt>
                <c:pt idx="16">
                  <c:v>161954.4397503311</c:v>
                </c:pt>
                <c:pt idx="17">
                  <c:v>164905.30457326677</c:v>
                </c:pt>
                <c:pt idx="18">
                  <c:v>167906.53997349873</c:v>
                </c:pt>
                <c:pt idx="19">
                  <c:v>170958.89396099845</c:v>
                </c:pt>
                <c:pt idx="20">
                  <c:v>174063.12172388902</c:v>
                </c:pt>
                <c:pt idx="21">
                  <c:v>177219.98553854757</c:v>
                </c:pt>
                <c:pt idx="22">
                  <c:v>180430.2546709046</c:v>
                </c:pt>
                <c:pt idx="23">
                  <c:v>183694.7052685566</c:v>
                </c:pt>
                <c:pt idx="24">
                  <c:v>187014.12024328834</c:v>
                </c:pt>
                <c:pt idx="25">
                  <c:v>190389.28914359573</c:v>
                </c:pt>
              </c:numCache>
            </c:numRef>
          </c:val>
          <c:smooth val="0"/>
          <c:extLst>
            <c:ext xmlns:c16="http://schemas.microsoft.com/office/drawing/2014/chart" uri="{C3380CC4-5D6E-409C-BE32-E72D297353CC}">
              <c16:uniqueId val="{00000000-88D5-4E33-B68F-DA53A8D869DB}"/>
            </c:ext>
          </c:extLst>
        </c:ser>
        <c:ser>
          <c:idx val="1"/>
          <c:order val="1"/>
          <c:tx>
            <c:v>Cumulative cashflow</c:v>
          </c:tx>
          <c:cat>
            <c:numRef>
              <c:f>Summary!$A$18:$A$43</c:f>
              <c:numCache>
                <c:formatCode>General</c:formatCode>
                <c:ptCount val="2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numCache>
            </c:numRef>
          </c:cat>
          <c:val>
            <c:numRef>
              <c:f>Summary!$C$18:$C$43</c:f>
              <c:numCache>
                <c:formatCode>\€#,##0;[Red]\-\€#,##0</c:formatCode>
                <c:ptCount val="26"/>
                <c:pt idx="0">
                  <c:v>-1170000</c:v>
                </c:pt>
                <c:pt idx="1">
                  <c:v>-1046750</c:v>
                </c:pt>
                <c:pt idx="2">
                  <c:v>-921220</c:v>
                </c:pt>
                <c:pt idx="3">
                  <c:v>-793369.95</c:v>
                </c:pt>
                <c:pt idx="4">
                  <c:v>-663159.1655</c:v>
                </c:pt>
                <c:pt idx="5">
                  <c:v>-530546.31980499998</c:v>
                </c:pt>
                <c:pt idx="6">
                  <c:v>-395489.43632594997</c:v>
                </c:pt>
                <c:pt idx="7">
                  <c:v>-257945.88088106443</c:v>
                </c:pt>
                <c:pt idx="8">
                  <c:v>-117872.35400213909</c:v>
                </c:pt>
                <c:pt idx="9">
                  <c:v>24775.116749261157</c:v>
                </c:pt>
                <c:pt idx="10">
                  <c:v>6944.5364719771314</c:v>
                </c:pt>
                <c:pt idx="11">
                  <c:v>154874.5424883677</c:v>
                </c:pt>
                <c:pt idx="12">
                  <c:v>305514.52409490733</c:v>
                </c:pt>
                <c:pt idx="13">
                  <c:v>458911.22206749371</c:v>
                </c:pt>
                <c:pt idx="14">
                  <c:v>615112.08823546534</c:v>
                </c:pt>
                <c:pt idx="15">
                  <c:v>774165.2929898079</c:v>
                </c:pt>
                <c:pt idx="16">
                  <c:v>936119.73274013901</c:v>
                </c:pt>
                <c:pt idx="17">
                  <c:v>1101025.0373134059</c:v>
                </c:pt>
                <c:pt idx="18">
                  <c:v>1268931.5772869047</c:v>
                </c:pt>
                <c:pt idx="19">
                  <c:v>1439890.4712479031</c:v>
                </c:pt>
                <c:pt idx="20">
                  <c:v>1613953.592971792</c:v>
                </c:pt>
                <c:pt idx="21">
                  <c:v>1791173.5785103396</c:v>
                </c:pt>
                <c:pt idx="22">
                  <c:v>1971603.8331812443</c:v>
                </c:pt>
                <c:pt idx="23">
                  <c:v>2155298.538449801</c:v>
                </c:pt>
                <c:pt idx="24">
                  <c:v>2342312.6586930891</c:v>
                </c:pt>
                <c:pt idx="25">
                  <c:v>2532701.947836685</c:v>
                </c:pt>
              </c:numCache>
            </c:numRef>
          </c:val>
          <c:smooth val="0"/>
          <c:extLst>
            <c:ext xmlns:c16="http://schemas.microsoft.com/office/drawing/2014/chart" uri="{C3380CC4-5D6E-409C-BE32-E72D297353CC}">
              <c16:uniqueId val="{00000001-88D5-4E33-B68F-DA53A8D869DB}"/>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3</xdr:col>
      <xdr:colOff>2381250</xdr:colOff>
      <xdr:row>4</xdr:row>
      <xdr:rowOff>133350</xdr:rowOff>
    </xdr:to>
    <xdr:pic>
      <xdr:nvPicPr>
        <xdr:cNvPr id="2" name="Picture 1" descr="A green and yellow text on a black background&#10;&#10;AI-generated content may be incorrect.">
          <a:extLst>
            <a:ext uri="{FF2B5EF4-FFF2-40B4-BE49-F238E27FC236}">
              <a16:creationId xmlns:a16="http://schemas.microsoft.com/office/drawing/2014/main" id="{F9918691-BEF5-4F0E-956C-D33B45199647}"/>
            </a:ext>
          </a:extLst>
        </xdr:cNvPr>
        <xdr:cNvPicPr>
          <a:picLocks noChangeAspect="1"/>
        </xdr:cNvPicPr>
      </xdr:nvPicPr>
      <xdr:blipFill>
        <a:blip xmlns:r="http://schemas.openxmlformats.org/officeDocument/2006/relationships" r:embed="rId1"/>
        <a:stretch>
          <a:fillRect/>
        </a:stretch>
      </xdr:blipFill>
      <xdr:spPr>
        <a:xfrm>
          <a:off x="10210800" y="190500"/>
          <a:ext cx="238125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1209675</xdr:colOff>
      <xdr:row>16</xdr:row>
      <xdr:rowOff>104775</xdr:rowOff>
    </xdr:from>
    <xdr:to>
      <xdr:col>9</xdr:col>
      <xdr:colOff>523875</xdr:colOff>
      <xdr:row>32</xdr:row>
      <xdr:rowOff>104775</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34</xdr:row>
      <xdr:rowOff>9525</xdr:rowOff>
    </xdr:from>
    <xdr:to>
      <xdr:col>9</xdr:col>
      <xdr:colOff>533400</xdr:colOff>
      <xdr:row>50</xdr:row>
      <xdr:rowOff>9525</xdr:rowOff>
    </xdr:to>
    <xdr:graphicFrame macro="">
      <xdr:nvGraphicFramePr>
        <xdr:cNvPr id="3" nam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uropeanbiogas.eu/" TargetMode="External"/><Relationship Id="rId2" Type="http://schemas.openxmlformats.org/officeDocument/2006/relationships/hyperlink" Target="https://www.iea.org/reports/outlook-for-biogas-and-biomethane-prospects-for-organic-growth" TargetMode="External"/><Relationship Id="rId1" Type="http://schemas.openxmlformats.org/officeDocument/2006/relationships/hyperlink" Target="https://energy.ec.europa.eu/topics/renewable-energy/bioenergy/biomethane_en"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7"/>
  <sheetViews>
    <sheetView tabSelected="1" topLeftCell="A3" workbookViewId="0">
      <selection activeCell="C25" sqref="C25"/>
    </sheetView>
  </sheetViews>
  <sheetFormatPr defaultColWidth="9" defaultRowHeight="14.5"/>
  <cols>
    <col min="1" max="1" width="24" style="8" customWidth="1"/>
    <col min="2" max="2" width="50" style="8" customWidth="1"/>
    <col min="3" max="3" width="60" style="8" customWidth="1"/>
    <col min="4" max="4" width="55" style="8" customWidth="1"/>
    <col min="5" max="16384" width="9" style="8"/>
  </cols>
  <sheetData>
    <row r="1" spans="1:4" s="22" customFormat="1" ht="18.5">
      <c r="A1" s="22" t="s">
        <v>0</v>
      </c>
    </row>
    <row r="2" spans="1:4">
      <c r="A2" s="9" t="s">
        <v>1</v>
      </c>
    </row>
    <row r="3" spans="1:4">
      <c r="A3" s="8" t="s">
        <v>2</v>
      </c>
    </row>
    <row r="5" spans="1:4">
      <c r="A5" s="8" t="s">
        <v>3</v>
      </c>
    </row>
    <row r="6" spans="1:4">
      <c r="A6" s="8" t="s">
        <v>4</v>
      </c>
    </row>
    <row r="7" spans="1:4">
      <c r="A7" s="8" t="s">
        <v>5</v>
      </c>
    </row>
    <row r="8" spans="1:4" ht="12.65" customHeight="1">
      <c r="A8" s="8" t="s">
        <v>6</v>
      </c>
    </row>
    <row r="11" spans="1:4">
      <c r="A11" s="23" t="s">
        <v>7</v>
      </c>
      <c r="B11" s="23" t="s">
        <v>8</v>
      </c>
    </row>
    <row r="12" spans="1:4">
      <c r="A12" s="10"/>
      <c r="B12" s="11" t="s">
        <v>9</v>
      </c>
      <c r="C12" s="8" t="s">
        <v>10</v>
      </c>
    </row>
    <row r="13" spans="1:4">
      <c r="A13" s="12"/>
      <c r="B13" s="11" t="s">
        <v>11</v>
      </c>
    </row>
    <row r="14" spans="1:4">
      <c r="A14" s="13"/>
      <c r="B14" s="11" t="s">
        <v>12</v>
      </c>
    </row>
    <row r="15" spans="1:4">
      <c r="A15" s="14"/>
      <c r="B15" s="11" t="s">
        <v>13</v>
      </c>
    </row>
    <row r="16" spans="1:4" ht="18.5">
      <c r="A16" s="20"/>
      <c r="B16" s="20"/>
      <c r="C16" s="20"/>
      <c r="D16" s="20"/>
    </row>
    <row r="18" spans="1:4" s="21" customFormat="1">
      <c r="A18" s="24" t="s">
        <v>14</v>
      </c>
      <c r="B18" s="24" t="s">
        <v>15</v>
      </c>
      <c r="C18" s="24" t="s">
        <v>16</v>
      </c>
      <c r="D18" s="24" t="s">
        <v>17</v>
      </c>
    </row>
    <row r="19" spans="1:4" s="16" customFormat="1" ht="72.5">
      <c r="A19" s="15" t="s">
        <v>18</v>
      </c>
      <c r="B19" s="16" t="s">
        <v>19</v>
      </c>
      <c r="D19" s="16" t="s">
        <v>20</v>
      </c>
    </row>
    <row r="20" spans="1:4" s="16" customFormat="1" ht="29">
      <c r="A20" s="16" t="s">
        <v>21</v>
      </c>
      <c r="B20" s="16" t="s">
        <v>22</v>
      </c>
      <c r="C20" s="17" t="s">
        <v>23</v>
      </c>
      <c r="D20" s="16" t="s">
        <v>24</v>
      </c>
    </row>
    <row r="21" spans="1:4" s="16" customFormat="1" ht="29">
      <c r="A21" s="16" t="s">
        <v>25</v>
      </c>
      <c r="B21" s="16" t="s">
        <v>26</v>
      </c>
      <c r="C21" s="17" t="s">
        <v>27</v>
      </c>
      <c r="D21" s="16" t="s">
        <v>28</v>
      </c>
    </row>
    <row r="22" spans="1:4" s="16" customFormat="1" ht="29">
      <c r="A22" s="16" t="s">
        <v>29</v>
      </c>
      <c r="B22" s="16" t="s">
        <v>30</v>
      </c>
      <c r="C22" s="17" t="s">
        <v>31</v>
      </c>
      <c r="D22" s="16" t="s">
        <v>32</v>
      </c>
    </row>
    <row r="23" spans="1:4" s="16" customFormat="1" ht="29">
      <c r="A23" s="15" t="s">
        <v>33</v>
      </c>
      <c r="B23" s="16" t="s">
        <v>34</v>
      </c>
      <c r="C23" s="16" t="s">
        <v>35</v>
      </c>
    </row>
    <row r="24" spans="1:4" s="16" customFormat="1"/>
    <row r="25" spans="1:4" s="16" customFormat="1" ht="47.5" customHeight="1">
      <c r="A25" s="77" t="s">
        <v>36</v>
      </c>
      <c r="B25" s="77"/>
    </row>
    <row r="28" spans="1:4">
      <c r="A28" s="18" t="s">
        <v>37</v>
      </c>
      <c r="B28" s="8" t="s">
        <v>38</v>
      </c>
    </row>
    <row r="29" spans="1:4">
      <c r="A29" s="18"/>
      <c r="B29" s="19" t="s">
        <v>39</v>
      </c>
    </row>
    <row r="30" spans="1:4">
      <c r="A30" s="18"/>
      <c r="B30" s="19" t="s">
        <v>40</v>
      </c>
    </row>
    <row r="31" spans="1:4">
      <c r="A31" s="18"/>
      <c r="B31" s="19" t="s">
        <v>41</v>
      </c>
    </row>
    <row r="32" spans="1:4">
      <c r="A32" s="18"/>
      <c r="B32" s="19" t="s">
        <v>42</v>
      </c>
    </row>
    <row r="33" spans="1:2">
      <c r="A33" s="18"/>
      <c r="B33" s="19" t="s">
        <v>43</v>
      </c>
    </row>
    <row r="34" spans="1:2">
      <c r="A34" s="18"/>
      <c r="B34" s="19" t="s">
        <v>44</v>
      </c>
    </row>
    <row r="35" spans="1:2">
      <c r="A35" s="18"/>
    </row>
    <row r="36" spans="1:2">
      <c r="A36" s="18"/>
    </row>
    <row r="37" spans="1:2">
      <c r="A37" s="18"/>
      <c r="B37" s="19"/>
    </row>
  </sheetData>
  <mergeCells count="2">
    <mergeCell ref="A16:D16"/>
    <mergeCell ref="A25:B25"/>
  </mergeCells>
  <hyperlinks>
    <hyperlink ref="C20" r:id="rId1" xr:uid="{581E0C82-4271-4CBF-9534-677975424A56}"/>
    <hyperlink ref="C21" r:id="rId2" xr:uid="{07714E7F-7207-4EB6-8401-0BC70AF243CD}"/>
    <hyperlink ref="C22" r:id="rId3" xr:uid="{95901EAD-3471-42B7-BB5D-55CE464FAAC0}"/>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
  <sheetViews>
    <sheetView workbookViewId="0">
      <selection activeCell="B12" sqref="B12"/>
    </sheetView>
  </sheetViews>
  <sheetFormatPr defaultRowHeight="14.5"/>
  <cols>
    <col min="1" max="1" width="28" style="29" customWidth="1"/>
    <col min="2" max="2" width="18" style="29" customWidth="1"/>
    <col min="3" max="5" width="14" style="29" customWidth="1"/>
    <col min="6" max="6" width="16.08203125" style="29" customWidth="1"/>
    <col min="7" max="7" width="16" style="35" customWidth="1"/>
    <col min="8" max="8" width="97.58203125" style="29" customWidth="1"/>
    <col min="9" max="9" width="18" style="29" customWidth="1"/>
    <col min="10" max="10" width="14" style="29" customWidth="1"/>
    <col min="11" max="11" width="38" style="29" customWidth="1"/>
    <col min="12" max="16384" width="8.6640625" style="29"/>
  </cols>
  <sheetData>
    <row r="1" spans="1:9" s="27" customFormat="1" ht="28" customHeight="1">
      <c r="A1" s="26" t="s">
        <v>45</v>
      </c>
      <c r="B1" s="26"/>
      <c r="C1" s="26"/>
      <c r="D1" s="26"/>
      <c r="E1" s="26"/>
      <c r="F1" s="26"/>
      <c r="G1" s="26"/>
      <c r="H1" s="26"/>
    </row>
    <row r="2" spans="1:9" ht="18.75" customHeight="1">
      <c r="A2" s="28" t="s">
        <v>46</v>
      </c>
      <c r="B2" s="28"/>
      <c r="C2" s="28"/>
      <c r="D2" s="28"/>
      <c r="E2" s="28"/>
      <c r="F2" s="28"/>
      <c r="G2" s="28"/>
      <c r="H2" s="28"/>
    </row>
    <row r="3" spans="1:9" ht="17.25" customHeight="1">
      <c r="A3" s="30" t="s">
        <v>47</v>
      </c>
      <c r="B3" s="31"/>
      <c r="C3" s="31"/>
      <c r="D3" s="31"/>
      <c r="E3" s="31"/>
      <c r="F3" s="31"/>
      <c r="G3" s="31"/>
      <c r="H3" s="31"/>
    </row>
    <row r="4" spans="1:9" ht="17.25" customHeight="1">
      <c r="A4" s="32" t="s">
        <v>48</v>
      </c>
      <c r="B4" s="31"/>
      <c r="C4" s="31"/>
      <c r="D4" s="31"/>
      <c r="E4" s="31"/>
      <c r="F4" s="31"/>
      <c r="G4" s="31"/>
      <c r="H4" s="31"/>
    </row>
    <row r="5" spans="1:9">
      <c r="A5" s="33" t="s">
        <v>49</v>
      </c>
      <c r="B5" s="34" t="s">
        <v>50</v>
      </c>
      <c r="H5" s="29" t="s">
        <v>51</v>
      </c>
    </row>
    <row r="8" spans="1:9" ht="24" customHeight="1">
      <c r="A8" s="36" t="s">
        <v>52</v>
      </c>
      <c r="B8" s="36" t="s">
        <v>53</v>
      </c>
      <c r="C8" s="36" t="s">
        <v>50</v>
      </c>
      <c r="D8" s="36" t="s">
        <v>54</v>
      </c>
      <c r="E8" s="36" t="s">
        <v>55</v>
      </c>
      <c r="F8" s="36" t="s">
        <v>56</v>
      </c>
      <c r="G8" s="37" t="s">
        <v>57</v>
      </c>
      <c r="H8" s="36" t="s">
        <v>15</v>
      </c>
      <c r="I8" s="36" t="s">
        <v>58</v>
      </c>
    </row>
    <row r="9" spans="1:9">
      <c r="A9" s="38" t="s">
        <v>59</v>
      </c>
      <c r="B9" s="38" t="s">
        <v>60</v>
      </c>
      <c r="C9" s="39">
        <v>25</v>
      </c>
      <c r="D9" s="39">
        <v>25</v>
      </c>
      <c r="E9" s="39">
        <v>25</v>
      </c>
      <c r="F9" s="39">
        <v>25</v>
      </c>
      <c r="G9" s="40">
        <f>INDEX($C9:$F9,MATCH($B$5,{"Base","Low","High","Farmer Estimate"},0))</f>
        <v>25</v>
      </c>
      <c r="H9" s="41" t="s">
        <v>61</v>
      </c>
      <c r="I9" s="42" t="s">
        <v>62</v>
      </c>
    </row>
    <row r="10" spans="1:9">
      <c r="A10" s="38" t="s">
        <v>63</v>
      </c>
      <c r="B10" s="38" t="s">
        <v>64</v>
      </c>
      <c r="C10" s="43">
        <v>0.04</v>
      </c>
      <c r="D10" s="43">
        <v>0.03</v>
      </c>
      <c r="E10" s="43">
        <v>0.05</v>
      </c>
      <c r="F10" s="43">
        <v>0.06</v>
      </c>
      <c r="G10" s="44">
        <f>INDEX($C10:$F10,MATCH($B$5,{"Base","Low","High","Farmer Estimate"},0))</f>
        <v>0.04</v>
      </c>
      <c r="H10" s="41" t="s">
        <v>65</v>
      </c>
      <c r="I10" s="42" t="s">
        <v>62</v>
      </c>
    </row>
    <row r="11" spans="1:9" ht="15.75" customHeight="1">
      <c r="A11" s="38" t="s">
        <v>66</v>
      </c>
      <c r="B11" s="38" t="s">
        <v>67</v>
      </c>
      <c r="C11" s="43">
        <v>0.03</v>
      </c>
      <c r="D11" s="43">
        <v>0.01</v>
      </c>
      <c r="E11" s="43">
        <v>0.06</v>
      </c>
      <c r="F11" s="43">
        <v>0.03</v>
      </c>
      <c r="G11" s="44">
        <v>0.03</v>
      </c>
      <c r="H11" s="41" t="s">
        <v>68</v>
      </c>
      <c r="I11" s="42" t="s">
        <v>62</v>
      </c>
    </row>
    <row r="12" spans="1:9" ht="14.25" customHeight="1">
      <c r="A12" s="38" t="s">
        <v>69</v>
      </c>
      <c r="B12" s="38" t="s">
        <v>67</v>
      </c>
      <c r="C12" s="43">
        <v>0.02</v>
      </c>
      <c r="D12" s="43">
        <v>0</v>
      </c>
      <c r="E12" s="43">
        <v>0.05</v>
      </c>
      <c r="F12" s="43">
        <v>0.03</v>
      </c>
      <c r="G12" s="44">
        <f>INDEX($C12:$F12,MATCH($B$5,{"Base","Low","High","Farmer Estimate"},0))</f>
        <v>0.02</v>
      </c>
      <c r="H12" s="41" t="s">
        <v>70</v>
      </c>
      <c r="I12" s="42" t="s">
        <v>62</v>
      </c>
    </row>
    <row r="13" spans="1:9" ht="14.25" customHeight="1">
      <c r="A13" s="38" t="s">
        <v>71</v>
      </c>
      <c r="B13" s="38" t="s">
        <v>67</v>
      </c>
      <c r="C13" s="43">
        <v>0.03</v>
      </c>
      <c r="D13" s="43">
        <v>0.01</v>
      </c>
      <c r="E13" s="43">
        <v>0.06</v>
      </c>
      <c r="F13" s="43">
        <v>0.04</v>
      </c>
      <c r="G13" s="44">
        <f>INDEX($C13:$F13,MATCH($B$5,{"Base","Low","High","Farmer Estimate"},0))</f>
        <v>0.03</v>
      </c>
      <c r="H13" s="41" t="s">
        <v>72</v>
      </c>
      <c r="I13" s="42" t="s">
        <v>62</v>
      </c>
    </row>
    <row r="14" spans="1:9" ht="19.5" customHeight="1">
      <c r="A14" s="38" t="s">
        <v>73</v>
      </c>
      <c r="B14" s="38" t="s">
        <v>67</v>
      </c>
      <c r="C14" s="43">
        <v>0.03</v>
      </c>
      <c r="D14" s="43">
        <v>1.4999999999999999E-2</v>
      </c>
      <c r="E14" s="43">
        <v>0.06</v>
      </c>
      <c r="F14" s="43">
        <v>0.04</v>
      </c>
      <c r="G14" s="44">
        <f>INDEX($C14:$F14,MATCH($B$5,{"Base","Low","High","Farmer Estimate"},0))</f>
        <v>0.03</v>
      </c>
      <c r="H14" s="41" t="s">
        <v>74</v>
      </c>
      <c r="I14" s="42" t="s">
        <v>62</v>
      </c>
    </row>
    <row r="15" spans="1:9" ht="16.5" customHeight="1">
      <c r="A15" s="38" t="s">
        <v>75</v>
      </c>
      <c r="B15" s="38" t="s">
        <v>67</v>
      </c>
      <c r="C15" s="43">
        <v>0</v>
      </c>
      <c r="D15" s="43">
        <v>-0.01</v>
      </c>
      <c r="E15" s="43">
        <v>5.0000000000000001E-3</v>
      </c>
      <c r="F15" s="43">
        <v>0.01</v>
      </c>
      <c r="G15" s="44">
        <f>INDEX($C15:$F15,MATCH($B$5,{"Base","Low","High","Farmer Estimate"},0))</f>
        <v>0</v>
      </c>
      <c r="H15" s="41" t="s">
        <v>76</v>
      </c>
      <c r="I15" s="42" t="s">
        <v>62</v>
      </c>
    </row>
    <row r="16" spans="1:9" ht="15" customHeight="1">
      <c r="A16" s="38" t="s">
        <v>77</v>
      </c>
      <c r="B16" s="38" t="s">
        <v>78</v>
      </c>
      <c r="C16" s="39">
        <v>250</v>
      </c>
      <c r="D16" s="39">
        <v>150</v>
      </c>
      <c r="E16" s="39">
        <v>500</v>
      </c>
      <c r="F16" s="39">
        <v>200</v>
      </c>
      <c r="G16" s="40">
        <f>INDEX($C16:$F16,MATCH($B$5,{"Base","Low","High","Farmer Estimate"},0))</f>
        <v>250</v>
      </c>
      <c r="H16" s="41" t="s">
        <v>79</v>
      </c>
      <c r="I16" s="42" t="s">
        <v>80</v>
      </c>
    </row>
    <row r="17" spans="1:9">
      <c r="A17" s="38" t="s">
        <v>81</v>
      </c>
      <c r="B17" s="38" t="s">
        <v>82</v>
      </c>
      <c r="C17" s="39">
        <v>7500</v>
      </c>
      <c r="D17" s="39">
        <v>6500</v>
      </c>
      <c r="E17" s="39">
        <v>8200</v>
      </c>
      <c r="F17" s="39">
        <v>7000</v>
      </c>
      <c r="G17" s="40">
        <f>INDEX($C17:$F17,MATCH($B$5,{"Base","Low","High","Farmer Estimate"},0))</f>
        <v>7500</v>
      </c>
      <c r="H17" s="41" t="s">
        <v>83</v>
      </c>
      <c r="I17" s="42" t="s">
        <v>80</v>
      </c>
    </row>
    <row r="18" spans="1:9">
      <c r="A18" s="38" t="s">
        <v>84</v>
      </c>
      <c r="B18" s="38" t="s">
        <v>85</v>
      </c>
      <c r="C18" s="43">
        <v>0.6</v>
      </c>
      <c r="D18" s="43">
        <v>0.45</v>
      </c>
      <c r="E18" s="43">
        <v>0.75</v>
      </c>
      <c r="F18" s="43">
        <v>0.5</v>
      </c>
      <c r="G18" s="44">
        <f>INDEX($C18:$F18,MATCH($B$5,{"Base","Low","High","Farmer Estimate"},0))</f>
        <v>0.6</v>
      </c>
      <c r="H18" s="41" t="s">
        <v>86</v>
      </c>
      <c r="I18" s="42" t="s">
        <v>80</v>
      </c>
    </row>
    <row r="19" spans="1:9" ht="15.75" customHeight="1">
      <c r="A19" s="38" t="s">
        <v>87</v>
      </c>
      <c r="B19" s="38" t="s">
        <v>88</v>
      </c>
      <c r="C19" s="39">
        <v>400000</v>
      </c>
      <c r="D19" s="39">
        <v>200000</v>
      </c>
      <c r="E19" s="39">
        <v>900000</v>
      </c>
      <c r="F19" s="39">
        <v>500000</v>
      </c>
      <c r="G19" s="40">
        <f>INDEX($C19:$F19,MATCH($B$5,{"Base","Low","High","Farmer Estimate"},0))</f>
        <v>400000</v>
      </c>
      <c r="H19" s="41" t="s">
        <v>89</v>
      </c>
      <c r="I19" s="42" t="s">
        <v>80</v>
      </c>
    </row>
    <row r="20" spans="1:9" ht="16.5" customHeight="1">
      <c r="A20" s="38" t="s">
        <v>90</v>
      </c>
      <c r="B20" s="38" t="s">
        <v>91</v>
      </c>
      <c r="C20" s="39">
        <v>300000</v>
      </c>
      <c r="D20" s="39">
        <v>150000</v>
      </c>
      <c r="E20" s="39">
        <v>600000</v>
      </c>
      <c r="F20" s="39">
        <v>200000</v>
      </c>
      <c r="G20" s="40">
        <f>INDEX($C20:$F20,MATCH($B$5,{"Base","Low","High","Farmer Estimate"},0))</f>
        <v>300000</v>
      </c>
      <c r="H20" s="41" t="s">
        <v>92</v>
      </c>
      <c r="I20" s="42" t="s">
        <v>80</v>
      </c>
    </row>
    <row r="21" spans="1:9" ht="15.75" customHeight="1">
      <c r="A21" s="38" t="s">
        <v>93</v>
      </c>
      <c r="B21" s="38" t="s">
        <v>91</v>
      </c>
      <c r="C21" s="39">
        <v>350000</v>
      </c>
      <c r="D21" s="39">
        <v>150000</v>
      </c>
      <c r="E21" s="39">
        <v>800000</v>
      </c>
      <c r="F21" s="39">
        <v>500000</v>
      </c>
      <c r="G21" s="40">
        <f>INDEX($C21:$F21,MATCH($B$5,{"Base","Low","High","Farmer Estimate"},0))</f>
        <v>350000</v>
      </c>
      <c r="H21" s="41" t="s">
        <v>94</v>
      </c>
      <c r="I21" s="42" t="s">
        <v>80</v>
      </c>
    </row>
    <row r="22" spans="1:9" ht="17.25" customHeight="1">
      <c r="A22" s="38" t="s">
        <v>95</v>
      </c>
      <c r="B22" s="38" t="s">
        <v>96</v>
      </c>
      <c r="C22" s="45">
        <v>0.23</v>
      </c>
      <c r="D22" s="45">
        <v>0.16</v>
      </c>
      <c r="E22" s="45">
        <v>0.32</v>
      </c>
      <c r="F22" s="45">
        <v>0.3</v>
      </c>
      <c r="G22" s="46">
        <f>INDEX($C22:$F22,MATCH($B$5,{"Base","Low","High","Farmer Estimate"},0))</f>
        <v>0.23</v>
      </c>
      <c r="H22" s="41" t="s">
        <v>97</v>
      </c>
      <c r="I22" s="42" t="s">
        <v>98</v>
      </c>
    </row>
    <row r="23" spans="1:9">
      <c r="A23" s="38" t="s">
        <v>99</v>
      </c>
      <c r="B23" s="38" t="s">
        <v>96</v>
      </c>
      <c r="C23" s="45">
        <v>0.09</v>
      </c>
      <c r="D23" s="45">
        <v>0.05</v>
      </c>
      <c r="E23" s="45">
        <v>0.14000000000000001</v>
      </c>
      <c r="F23" s="45">
        <v>0.05</v>
      </c>
      <c r="G23" s="46">
        <f>INDEX($C23:$F23,MATCH($B$5,{"Base","Low","High","Farmer Estimate"},0))</f>
        <v>0.09</v>
      </c>
      <c r="H23" s="41" t="s">
        <v>100</v>
      </c>
      <c r="I23" s="42" t="s">
        <v>98</v>
      </c>
    </row>
    <row r="24" spans="1:9">
      <c r="A24" s="38" t="s">
        <v>101</v>
      </c>
      <c r="B24" s="38" t="s">
        <v>96</v>
      </c>
      <c r="C24" s="45">
        <v>7.0000000000000007E-2</v>
      </c>
      <c r="D24" s="45">
        <v>0.04</v>
      </c>
      <c r="E24" s="45">
        <v>0.11</v>
      </c>
      <c r="F24" s="45">
        <v>0.1</v>
      </c>
      <c r="G24" s="46">
        <f>INDEX($C24:$F24,MATCH($B$5,{"Base","Low","High","Farmer Estimate"},0))</f>
        <v>7.0000000000000007E-2</v>
      </c>
      <c r="H24" s="41" t="s">
        <v>102</v>
      </c>
      <c r="I24" s="42" t="s">
        <v>98</v>
      </c>
    </row>
    <row r="25" spans="1:9">
      <c r="A25" s="38" t="s">
        <v>103</v>
      </c>
      <c r="B25" s="38" t="s">
        <v>104</v>
      </c>
      <c r="C25" s="47">
        <v>25000</v>
      </c>
      <c r="D25" s="47">
        <v>0</v>
      </c>
      <c r="E25" s="47">
        <v>80000</v>
      </c>
      <c r="F25" s="47">
        <v>60000</v>
      </c>
      <c r="G25" s="48">
        <f>INDEX($C25:$F25,MATCH($B$5,{"Base","Low","High","Farmer Estimate"},0))</f>
        <v>25000</v>
      </c>
      <c r="H25" s="49" t="s">
        <v>105</v>
      </c>
      <c r="I25" s="42" t="s">
        <v>98</v>
      </c>
    </row>
    <row r="26" spans="1:9" ht="15" customHeight="1">
      <c r="A26" s="38" t="s">
        <v>106</v>
      </c>
      <c r="B26" s="38" t="s">
        <v>104</v>
      </c>
      <c r="C26" s="47">
        <v>30000</v>
      </c>
      <c r="D26" s="47">
        <v>10000</v>
      </c>
      <c r="E26" s="47">
        <v>70000</v>
      </c>
      <c r="F26" s="47">
        <v>40000</v>
      </c>
      <c r="G26" s="48">
        <f>INDEX($C26:$F26,MATCH($B$5,{"Base","Low","High","Farmer Estimate"},0))</f>
        <v>30000</v>
      </c>
      <c r="H26" s="41" t="s">
        <v>107</v>
      </c>
      <c r="I26" s="42" t="s">
        <v>98</v>
      </c>
    </row>
    <row r="27" spans="1:9" ht="16.5" customHeight="1">
      <c r="A27" s="38" t="s">
        <v>108</v>
      </c>
      <c r="B27" s="38" t="s">
        <v>104</v>
      </c>
      <c r="C27" s="47">
        <v>20000</v>
      </c>
      <c r="D27" s="47">
        <v>0</v>
      </c>
      <c r="E27" s="47">
        <v>90000</v>
      </c>
      <c r="F27" s="47">
        <v>37000</v>
      </c>
      <c r="G27" s="48">
        <f>INDEX($C27:$F27,MATCH($B$5,{"Base","Low","High","Farmer Estimate"},0))</f>
        <v>20000</v>
      </c>
      <c r="H27" s="41" t="s">
        <v>109</v>
      </c>
      <c r="I27" s="42" t="s">
        <v>98</v>
      </c>
    </row>
    <row r="28" spans="1:9" ht="29">
      <c r="A28" s="38" t="s">
        <v>110</v>
      </c>
      <c r="B28" s="38" t="s">
        <v>104</v>
      </c>
      <c r="C28" s="47">
        <v>50000</v>
      </c>
      <c r="D28" s="47">
        <v>20000</v>
      </c>
      <c r="E28" s="47">
        <v>120000</v>
      </c>
      <c r="F28" s="47">
        <v>80000</v>
      </c>
      <c r="G28" s="48">
        <f>INDEX($C28:$F28,MATCH($B$5,{"Base","Low","High","Farmer Estimate"},0))</f>
        <v>50000</v>
      </c>
      <c r="H28" s="41" t="s">
        <v>111</v>
      </c>
      <c r="I28" s="42" t="s">
        <v>112</v>
      </c>
    </row>
    <row r="29" spans="1:9" ht="15.75" customHeight="1">
      <c r="A29" s="38" t="s">
        <v>113</v>
      </c>
      <c r="B29" s="38" t="s">
        <v>114</v>
      </c>
      <c r="C29" s="43">
        <v>0.05</v>
      </c>
      <c r="D29" s="43">
        <v>3.5000000000000003E-2</v>
      </c>
      <c r="E29" s="43">
        <v>7.0000000000000007E-2</v>
      </c>
      <c r="F29" s="43">
        <v>0.04</v>
      </c>
      <c r="G29" s="44">
        <f>INDEX($C29:$F29,MATCH($B$5,{"Base","Low","High","Farmer Estimate"},0))</f>
        <v>0.05</v>
      </c>
      <c r="H29" s="41" t="s">
        <v>115</v>
      </c>
      <c r="I29" s="42" t="s">
        <v>112</v>
      </c>
    </row>
    <row r="30" spans="1:9" ht="15.75" customHeight="1">
      <c r="A30" s="38" t="s">
        <v>116</v>
      </c>
      <c r="B30" s="38" t="s">
        <v>104</v>
      </c>
      <c r="C30" s="47">
        <v>35000</v>
      </c>
      <c r="D30" s="47">
        <v>15000</v>
      </c>
      <c r="E30" s="47">
        <v>75000</v>
      </c>
      <c r="F30" s="47">
        <v>40000</v>
      </c>
      <c r="G30" s="50">
        <f>INDEX($C30:$F30,MATCH($B$5,{"Base","Low","High","Farmer Estimate"},0))</f>
        <v>35000</v>
      </c>
      <c r="H30" s="41" t="s">
        <v>117</v>
      </c>
      <c r="I30" s="42" t="s">
        <v>112</v>
      </c>
    </row>
    <row r="31" spans="1:9" ht="16.5" customHeight="1">
      <c r="A31" s="38" t="s">
        <v>118</v>
      </c>
      <c r="B31" s="38" t="s">
        <v>104</v>
      </c>
      <c r="C31" s="47">
        <v>12000</v>
      </c>
      <c r="D31" s="47">
        <v>5000</v>
      </c>
      <c r="E31" s="47">
        <v>25000</v>
      </c>
      <c r="F31" s="47">
        <v>15000</v>
      </c>
      <c r="G31" s="50">
        <f>INDEX($C31:$F31,MATCH($B$5,{"Base","Low","High","Farmer Estimate"},0))</f>
        <v>12000</v>
      </c>
      <c r="H31" s="41" t="s">
        <v>119</v>
      </c>
      <c r="I31" s="42" t="s">
        <v>112</v>
      </c>
    </row>
    <row r="32" spans="1:9" ht="15.75" customHeight="1">
      <c r="A32" s="38" t="s">
        <v>120</v>
      </c>
      <c r="B32" s="38" t="s">
        <v>104</v>
      </c>
      <c r="C32" s="47">
        <v>20000</v>
      </c>
      <c r="D32" s="47">
        <v>5000</v>
      </c>
      <c r="E32" s="47">
        <v>50000</v>
      </c>
      <c r="F32" s="47">
        <v>40000</v>
      </c>
      <c r="G32" s="50">
        <f>INDEX($C32:$F32,MATCH($B$5,{"Base","Low","High","Farmer Estimate"},0))</f>
        <v>20000</v>
      </c>
      <c r="H32" s="41" t="s">
        <v>121</v>
      </c>
      <c r="I32" s="42" t="s">
        <v>112</v>
      </c>
    </row>
    <row r="33" spans="1:9">
      <c r="A33" s="38" t="s">
        <v>122</v>
      </c>
      <c r="B33" s="38" t="s">
        <v>123</v>
      </c>
      <c r="C33" s="39">
        <v>5000</v>
      </c>
      <c r="D33" s="39">
        <v>6500</v>
      </c>
      <c r="E33" s="39">
        <v>4200</v>
      </c>
      <c r="F33" s="39">
        <v>4000</v>
      </c>
      <c r="G33" s="40">
        <f>INDEX($C33:$F33,MATCH($B$5,{"Base","Low","High","Farmer Estimate"},0))</f>
        <v>5000</v>
      </c>
      <c r="H33" s="41" t="s">
        <v>124</v>
      </c>
      <c r="I33" s="42" t="s">
        <v>125</v>
      </c>
    </row>
    <row r="34" spans="1:9" ht="29">
      <c r="A34" s="38" t="s">
        <v>126</v>
      </c>
      <c r="B34" s="38" t="s">
        <v>127</v>
      </c>
      <c r="C34" s="47">
        <v>150000</v>
      </c>
      <c r="D34" s="47">
        <v>50000</v>
      </c>
      <c r="E34" s="47">
        <v>400000</v>
      </c>
      <c r="F34" s="47">
        <v>300000</v>
      </c>
      <c r="G34" s="51">
        <f>INDEX($C34:$F34,MATCH($B$5,{"Base","Low","High","Farmer Estimate"},0))</f>
        <v>150000</v>
      </c>
      <c r="H34" s="41" t="s">
        <v>128</v>
      </c>
      <c r="I34" s="42" t="s">
        <v>125</v>
      </c>
    </row>
    <row r="35" spans="1:9" ht="16.5" customHeight="1">
      <c r="A35" s="38" t="s">
        <v>129</v>
      </c>
      <c r="B35" s="38" t="s">
        <v>130</v>
      </c>
      <c r="C35" s="43">
        <v>0.2</v>
      </c>
      <c r="D35" s="43">
        <v>0</v>
      </c>
      <c r="E35" s="43">
        <v>0.4</v>
      </c>
      <c r="F35" s="43">
        <v>0.17</v>
      </c>
      <c r="G35" s="44">
        <f>INDEX($C35:$F35,MATCH($B$5,{"Base","Low","High","Farmer Estimate"},0))</f>
        <v>0.2</v>
      </c>
      <c r="H35" s="41" t="s">
        <v>131</v>
      </c>
      <c r="I35" s="42" t="s">
        <v>125</v>
      </c>
    </row>
    <row r="36" spans="1:9" ht="14.25" customHeight="1">
      <c r="A36" s="38" t="s">
        <v>132</v>
      </c>
      <c r="B36" s="38" t="s">
        <v>127</v>
      </c>
      <c r="C36" s="47">
        <v>50000</v>
      </c>
      <c r="D36" s="47">
        <v>10000</v>
      </c>
      <c r="E36" s="47">
        <v>150000</v>
      </c>
      <c r="F36" s="47">
        <v>120000</v>
      </c>
      <c r="G36" s="50">
        <f>INDEX($C36:$F36,MATCH($B$5,{"Base","Low","High","Farmer Estimate"},0))</f>
        <v>50000</v>
      </c>
      <c r="H36" s="41" t="s">
        <v>133</v>
      </c>
      <c r="I36" s="42" t="s">
        <v>125</v>
      </c>
    </row>
    <row r="37" spans="1:9">
      <c r="A37" s="38" t="s">
        <v>134</v>
      </c>
      <c r="B37" s="38" t="s">
        <v>135</v>
      </c>
      <c r="C37" s="39">
        <v>10</v>
      </c>
      <c r="D37" s="39">
        <v>7</v>
      </c>
      <c r="E37" s="39">
        <v>12</v>
      </c>
      <c r="F37" s="39">
        <v>10</v>
      </c>
      <c r="G37" s="40">
        <f>INDEX($C37:$F37,MATCH($B$5,{"Base","Low","High","Farmer Estimate"},0))</f>
        <v>10</v>
      </c>
      <c r="H37" s="41" t="s">
        <v>136</v>
      </c>
      <c r="I37" s="42" t="s">
        <v>125</v>
      </c>
    </row>
    <row r="38" spans="1:9" ht="16.5" customHeight="1">
      <c r="A38" s="38" t="s">
        <v>137</v>
      </c>
      <c r="B38" s="38" t="s">
        <v>127</v>
      </c>
      <c r="C38" s="47">
        <v>125000</v>
      </c>
      <c r="D38" s="47">
        <v>50000</v>
      </c>
      <c r="E38" s="47">
        <v>300000</v>
      </c>
      <c r="F38" s="47">
        <v>150000</v>
      </c>
      <c r="G38" s="51">
        <f>INDEX($C38:$F38,MATCH($B$5,{"Base","Low","High","Farmer Estimate"},0))</f>
        <v>125000</v>
      </c>
      <c r="H38" s="41" t="s">
        <v>138</v>
      </c>
      <c r="I38" s="42" t="s">
        <v>125</v>
      </c>
    </row>
    <row r="39" spans="1:9" ht="15.75" customHeight="1">
      <c r="A39" s="38" t="s">
        <v>139</v>
      </c>
      <c r="B39" s="38" t="s">
        <v>104</v>
      </c>
      <c r="C39" s="47">
        <v>0</v>
      </c>
      <c r="D39" s="47">
        <v>0</v>
      </c>
      <c r="E39" s="47">
        <v>25000</v>
      </c>
      <c r="F39" s="47">
        <v>15000</v>
      </c>
      <c r="G39" s="52">
        <f>INDEX($C39:$F39,MATCH($B$5,{"Base","Low","High","Farmer Estimate"},0))</f>
        <v>0</v>
      </c>
      <c r="H39" s="41" t="s">
        <v>140</v>
      </c>
      <c r="I39" s="42" t="s">
        <v>141</v>
      </c>
    </row>
    <row r="40" spans="1:9">
      <c r="A40" s="38" t="s">
        <v>142</v>
      </c>
      <c r="B40" s="38" t="s">
        <v>104</v>
      </c>
      <c r="C40" s="47">
        <v>0</v>
      </c>
      <c r="D40" s="47">
        <v>0</v>
      </c>
      <c r="E40" s="47">
        <v>50000</v>
      </c>
      <c r="F40" s="47">
        <v>30000</v>
      </c>
      <c r="G40" s="52">
        <f>INDEX($C40:$F40,MATCH($B$5,{"Base","Low","High","Farmer Estimate"},0))</f>
        <v>0</v>
      </c>
      <c r="H40" s="41" t="s">
        <v>143</v>
      </c>
      <c r="I40" s="42" t="s">
        <v>141</v>
      </c>
    </row>
    <row r="41" spans="1:9">
      <c r="A41" s="38"/>
      <c r="B41" s="38"/>
      <c r="C41" s="53"/>
      <c r="D41" s="53"/>
      <c r="E41" s="53"/>
      <c r="F41" s="53"/>
      <c r="G41" s="54"/>
      <c r="H41" s="41"/>
      <c r="I41" s="42" t="s">
        <v>141</v>
      </c>
    </row>
    <row r="43" spans="1:9">
      <c r="A43" s="55" t="s">
        <v>144</v>
      </c>
      <c r="B43" s="55"/>
      <c r="C43" s="55"/>
      <c r="D43" s="55"/>
      <c r="E43" s="55"/>
      <c r="F43" s="55"/>
      <c r="G43" s="56"/>
      <c r="H43" s="55"/>
    </row>
    <row r="44" spans="1:9">
      <c r="A44" s="57"/>
      <c r="B44" s="57"/>
      <c r="C44" s="57"/>
      <c r="D44" s="57"/>
      <c r="E44" s="57"/>
      <c r="F44" s="57"/>
      <c r="G44" s="58"/>
      <c r="H44" s="57"/>
    </row>
    <row r="45" spans="1:9">
      <c r="A45" s="59" t="s">
        <v>145</v>
      </c>
      <c r="B45" s="60">
        <f>G16*G33+G34+G36</f>
        <v>1450000</v>
      </c>
      <c r="C45" s="29" t="s">
        <v>146</v>
      </c>
      <c r="D45" s="59"/>
      <c r="E45" s="59"/>
      <c r="F45" s="59"/>
      <c r="G45" s="61"/>
      <c r="H45" s="59"/>
    </row>
    <row r="46" spans="1:9">
      <c r="A46" s="62" t="s">
        <v>147</v>
      </c>
      <c r="B46" s="63">
        <f>G35*(G16*G33+G34)</f>
        <v>280000</v>
      </c>
      <c r="C46" s="29" t="s">
        <v>148</v>
      </c>
    </row>
    <row r="47" spans="1:9">
      <c r="A47" s="62" t="s">
        <v>149</v>
      </c>
      <c r="B47" s="63">
        <f>B45-B46</f>
        <v>1170000</v>
      </c>
      <c r="C47" s="29" t="s">
        <v>150</v>
      </c>
    </row>
    <row r="48" spans="1:9">
      <c r="A48" s="62" t="s">
        <v>151</v>
      </c>
      <c r="B48" s="64">
        <f>G16*G17</f>
        <v>1875000</v>
      </c>
      <c r="C48" s="29" t="s">
        <v>152</v>
      </c>
    </row>
    <row r="49" spans="1:3">
      <c r="A49" s="62" t="s">
        <v>153</v>
      </c>
      <c r="B49" s="64">
        <f>MIN(B48*G18,G20)</f>
        <v>300000</v>
      </c>
      <c r="C49" s="29" t="s">
        <v>154</v>
      </c>
    </row>
    <row r="50" spans="1:3">
      <c r="A50" s="62" t="s">
        <v>155</v>
      </c>
      <c r="B50" s="64">
        <f>MAX(B48-B49,0)</f>
        <v>1575000</v>
      </c>
      <c r="C50" s="29" t="s">
        <v>156</v>
      </c>
    </row>
    <row r="51" spans="1:3">
      <c r="A51" s="62" t="s">
        <v>157</v>
      </c>
      <c r="B51" s="64">
        <f>MIN(G19,G21)</f>
        <v>350000</v>
      </c>
      <c r="C51" s="29" t="s">
        <v>158</v>
      </c>
    </row>
    <row r="52" spans="1:3">
      <c r="A52" s="62" t="s">
        <v>159</v>
      </c>
      <c r="B52" s="64">
        <f>B49*G22</f>
        <v>69000</v>
      </c>
      <c r="C52" s="29" t="s">
        <v>160</v>
      </c>
    </row>
    <row r="53" spans="1:3">
      <c r="A53" s="62" t="s">
        <v>161</v>
      </c>
      <c r="B53" s="63">
        <f>B50*G23</f>
        <v>141750</v>
      </c>
      <c r="C53" s="29" t="s">
        <v>162</v>
      </c>
    </row>
    <row r="54" spans="1:3">
      <c r="A54" s="62" t="s">
        <v>163</v>
      </c>
      <c r="B54" s="63">
        <f>B51*G24</f>
        <v>24500.000000000004</v>
      </c>
      <c r="C54" s="29" t="s">
        <v>164</v>
      </c>
    </row>
    <row r="55" spans="1:3">
      <c r="A55" s="62" t="s">
        <v>165</v>
      </c>
      <c r="B55" s="63">
        <f>G25+G26+G27+G39</f>
        <v>75000</v>
      </c>
      <c r="C55" s="29" t="s">
        <v>166</v>
      </c>
    </row>
    <row r="56" spans="1:3">
      <c r="A56" s="62" t="s">
        <v>167</v>
      </c>
      <c r="B56" s="63">
        <f>G28+(G16*G33+G34)*G29+G30+G31+G32</f>
        <v>187000</v>
      </c>
      <c r="C56" s="29" t="s">
        <v>168</v>
      </c>
    </row>
    <row r="57" spans="1:3">
      <c r="A57" s="62" t="s">
        <v>169</v>
      </c>
      <c r="B57" s="63">
        <f>G40</f>
        <v>0</v>
      </c>
      <c r="C57" s="29" t="s">
        <v>143</v>
      </c>
    </row>
    <row r="58" spans="1:3">
      <c r="A58" s="62" t="s">
        <v>170</v>
      </c>
      <c r="B58" s="63">
        <f>SUM(B52:B55)-B56-B57</f>
        <v>123250</v>
      </c>
      <c r="C58" s="29" t="s">
        <v>171</v>
      </c>
    </row>
    <row r="60" spans="1:3">
      <c r="A60" s="62" t="s">
        <v>172</v>
      </c>
      <c r="C60" s="29" t="s">
        <v>173</v>
      </c>
    </row>
    <row r="61" spans="1:3">
      <c r="C61" s="29" t="s">
        <v>174</v>
      </c>
    </row>
    <row r="62" spans="1:3">
      <c r="C62" s="29" t="s">
        <v>175</v>
      </c>
    </row>
  </sheetData>
  <mergeCells count="2">
    <mergeCell ref="A1:H1"/>
    <mergeCell ref="A2:H2"/>
  </mergeCells>
  <dataValidations count="1">
    <dataValidation type="list" sqref="B5" xr:uid="{00000000-0002-0000-0000-000000000000}">
      <formula1>"Base,Low,High,Farmer Estimate"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3"/>
  <sheetViews>
    <sheetView workbookViewId="0">
      <selection activeCell="A3" sqref="A3:XFD3"/>
    </sheetView>
  </sheetViews>
  <sheetFormatPr defaultRowHeight="14.5"/>
  <cols>
    <col min="1" max="1" width="34" style="29" customWidth="1"/>
    <col min="2" max="27" width="12" style="29" customWidth="1"/>
    <col min="28" max="16384" width="8.6640625" style="29"/>
  </cols>
  <sheetData>
    <row r="1" spans="1:27" s="27" customFormat="1" ht="18.5">
      <c r="A1" s="69" t="s">
        <v>176</v>
      </c>
      <c r="B1" s="69"/>
      <c r="C1" s="69"/>
      <c r="D1" s="69"/>
      <c r="E1" s="69"/>
      <c r="F1" s="69"/>
      <c r="G1" s="69"/>
      <c r="H1" s="69"/>
      <c r="I1" s="69"/>
      <c r="J1" s="69"/>
      <c r="K1" s="69"/>
      <c r="L1" s="69"/>
      <c r="M1" s="69"/>
      <c r="N1" s="69"/>
      <c r="O1" s="69"/>
      <c r="P1" s="69"/>
      <c r="Q1" s="69"/>
      <c r="R1" s="69"/>
      <c r="S1" s="69"/>
      <c r="T1" s="69"/>
      <c r="U1" s="69"/>
      <c r="V1" s="69"/>
      <c r="W1" s="69"/>
      <c r="X1" s="69"/>
      <c r="Y1" s="69"/>
      <c r="Z1" s="69"/>
      <c r="AA1" s="69"/>
    </row>
    <row r="3" spans="1:27" s="27" customFormat="1">
      <c r="A3" s="33" t="s">
        <v>177</v>
      </c>
      <c r="B3" s="33">
        <v>0</v>
      </c>
      <c r="C3" s="33">
        <v>1</v>
      </c>
      <c r="D3" s="33">
        <v>2</v>
      </c>
      <c r="E3" s="33">
        <v>3</v>
      </c>
      <c r="F3" s="33">
        <v>4</v>
      </c>
      <c r="G3" s="33">
        <v>5</v>
      </c>
      <c r="H3" s="33">
        <v>6</v>
      </c>
      <c r="I3" s="33">
        <v>7</v>
      </c>
      <c r="J3" s="33">
        <v>8</v>
      </c>
      <c r="K3" s="33">
        <v>9</v>
      </c>
      <c r="L3" s="33">
        <v>10</v>
      </c>
      <c r="M3" s="33">
        <v>11</v>
      </c>
      <c r="N3" s="33">
        <v>12</v>
      </c>
      <c r="O3" s="33">
        <v>13</v>
      </c>
      <c r="P3" s="33">
        <v>14</v>
      </c>
      <c r="Q3" s="33">
        <v>15</v>
      </c>
      <c r="R3" s="33">
        <v>16</v>
      </c>
      <c r="S3" s="33">
        <v>17</v>
      </c>
      <c r="T3" s="33">
        <v>18</v>
      </c>
      <c r="U3" s="33">
        <v>19</v>
      </c>
      <c r="V3" s="33">
        <v>20</v>
      </c>
      <c r="W3" s="33">
        <v>21</v>
      </c>
      <c r="X3" s="33">
        <v>22</v>
      </c>
      <c r="Y3" s="33">
        <v>23</v>
      </c>
      <c r="Z3" s="33">
        <v>24</v>
      </c>
      <c r="AA3" s="33">
        <v>25</v>
      </c>
    </row>
    <row r="4" spans="1:27">
      <c r="A4" s="65" t="s">
        <v>178</v>
      </c>
      <c r="B4" s="29" t="b">
        <f>B$3&lt;=Inputs!$G$9</f>
        <v>1</v>
      </c>
      <c r="C4" s="29" t="b">
        <f>C$3&lt;=Inputs!$G$9</f>
        <v>1</v>
      </c>
      <c r="D4" s="29" t="b">
        <f>D$3&lt;=Inputs!$G$9</f>
        <v>1</v>
      </c>
      <c r="E4" s="29" t="b">
        <f>E$3&lt;=Inputs!$G$9</f>
        <v>1</v>
      </c>
      <c r="F4" s="29" t="b">
        <f>F$3&lt;=Inputs!$G$9</f>
        <v>1</v>
      </c>
      <c r="G4" s="29" t="b">
        <f>G$3&lt;=Inputs!$G$9</f>
        <v>1</v>
      </c>
      <c r="H4" s="29" t="b">
        <f>H$3&lt;=Inputs!$G$9</f>
        <v>1</v>
      </c>
      <c r="I4" s="29" t="b">
        <f>I$3&lt;=Inputs!$G$9</f>
        <v>1</v>
      </c>
      <c r="J4" s="29" t="b">
        <f>J$3&lt;=Inputs!$G$9</f>
        <v>1</v>
      </c>
      <c r="K4" s="29" t="b">
        <f>K$3&lt;=Inputs!$G$9</f>
        <v>1</v>
      </c>
      <c r="L4" s="29" t="b">
        <f>L$3&lt;=Inputs!$G$9</f>
        <v>1</v>
      </c>
      <c r="M4" s="29" t="b">
        <f>M$3&lt;=Inputs!$G$9</f>
        <v>1</v>
      </c>
      <c r="N4" s="29" t="b">
        <f>N$3&lt;=Inputs!$G$9</f>
        <v>1</v>
      </c>
      <c r="O4" s="29" t="b">
        <f>O$3&lt;=Inputs!$G$9</f>
        <v>1</v>
      </c>
      <c r="P4" s="29" t="b">
        <f>P$3&lt;=Inputs!$G$9</f>
        <v>1</v>
      </c>
      <c r="Q4" s="29" t="b">
        <f>Q$3&lt;=Inputs!$G$9</f>
        <v>1</v>
      </c>
      <c r="R4" s="29" t="b">
        <f>R$3&lt;=Inputs!$G$9</f>
        <v>1</v>
      </c>
      <c r="S4" s="29" t="b">
        <f>S$3&lt;=Inputs!$G$9</f>
        <v>1</v>
      </c>
      <c r="T4" s="29" t="b">
        <f>T$3&lt;=Inputs!$G$9</f>
        <v>1</v>
      </c>
      <c r="U4" s="29" t="b">
        <f>U$3&lt;=Inputs!$G$9</f>
        <v>1</v>
      </c>
      <c r="V4" s="29" t="b">
        <f>V$3&lt;=Inputs!$G$9</f>
        <v>1</v>
      </c>
      <c r="W4" s="29" t="b">
        <f>W$3&lt;=Inputs!$G$9</f>
        <v>1</v>
      </c>
      <c r="X4" s="29" t="b">
        <f>X$3&lt;=Inputs!$G$9</f>
        <v>1</v>
      </c>
      <c r="Y4" s="29" t="b">
        <f>Y$3&lt;=Inputs!$G$9</f>
        <v>1</v>
      </c>
      <c r="Z4" s="29" t="b">
        <f>Z$3&lt;=Inputs!$G$9</f>
        <v>1</v>
      </c>
      <c r="AA4" s="29" t="b">
        <f>AA$3&lt;=Inputs!$G$9</f>
        <v>1</v>
      </c>
    </row>
    <row r="5" spans="1:27">
      <c r="A5" s="65" t="s">
        <v>151</v>
      </c>
      <c r="B5" s="66">
        <f>IF(AND(B$4,B$3&gt;0),Inputs!$G$16*Inputs!$G$17*(1+Inputs!$G$15)^(B$3-1),0)</f>
        <v>0</v>
      </c>
      <c r="C5" s="66">
        <f>IF(AND(C$4,C$3&gt;0),Inputs!$G$16*Inputs!$G$17*(1+Inputs!$G$15)^(C$3-1),0)</f>
        <v>1875000</v>
      </c>
      <c r="D5" s="66">
        <f>IF(AND(D$4,D$3&gt;0),Inputs!$G$16*Inputs!$G$17*(1+Inputs!$G$15)^(D$3-1),0)</f>
        <v>1875000</v>
      </c>
      <c r="E5" s="66">
        <f>IF(AND(E$4,E$3&gt;0),Inputs!$G$16*Inputs!$G$17*(1+Inputs!$G$15)^(E$3-1),0)</f>
        <v>1875000</v>
      </c>
      <c r="F5" s="66">
        <f>IF(AND(F$4,F$3&gt;0),Inputs!$G$16*Inputs!$G$17*(1+Inputs!$G$15)^(F$3-1),0)</f>
        <v>1875000</v>
      </c>
      <c r="G5" s="66">
        <f>IF(AND(G$4,G$3&gt;0),Inputs!$G$16*Inputs!$G$17*(1+Inputs!$G$15)^(G$3-1),0)</f>
        <v>1875000</v>
      </c>
      <c r="H5" s="66">
        <f>IF(AND(H$4,H$3&gt;0),Inputs!$G$16*Inputs!$G$17*(1+Inputs!$G$15)^(H$3-1),0)</f>
        <v>1875000</v>
      </c>
      <c r="I5" s="66">
        <f>IF(AND(I$4,I$3&gt;0),Inputs!$G$16*Inputs!$G$17*(1+Inputs!$G$15)^(I$3-1),0)</f>
        <v>1875000</v>
      </c>
      <c r="J5" s="66">
        <f>IF(AND(J$4,J$3&gt;0),Inputs!$G$16*Inputs!$G$17*(1+Inputs!$G$15)^(J$3-1),0)</f>
        <v>1875000</v>
      </c>
      <c r="K5" s="66">
        <f>IF(AND(K$4,K$3&gt;0),Inputs!$G$16*Inputs!$G$17*(1+Inputs!$G$15)^(K$3-1),0)</f>
        <v>1875000</v>
      </c>
      <c r="L5" s="66">
        <f>IF(AND(L$4,L$3&gt;0),Inputs!$G$16*Inputs!$G$17*(1+Inputs!$G$15)^(L$3-1),0)</f>
        <v>1875000</v>
      </c>
      <c r="M5" s="66">
        <f>IF(AND(M$4,M$3&gt;0),Inputs!$G$16*Inputs!$G$17*(1+Inputs!$G$15)^(M$3-1),0)</f>
        <v>1875000</v>
      </c>
      <c r="N5" s="66">
        <f>IF(AND(N$4,N$3&gt;0),Inputs!$G$16*Inputs!$G$17*(1+Inputs!$G$15)^(N$3-1),0)</f>
        <v>1875000</v>
      </c>
      <c r="O5" s="66">
        <f>IF(AND(O$4,O$3&gt;0),Inputs!$G$16*Inputs!$G$17*(1+Inputs!$G$15)^(O$3-1),0)</f>
        <v>1875000</v>
      </c>
      <c r="P5" s="66">
        <f>IF(AND(P$4,P$3&gt;0),Inputs!$G$16*Inputs!$G$17*(1+Inputs!$G$15)^(P$3-1),0)</f>
        <v>1875000</v>
      </c>
      <c r="Q5" s="66">
        <f>IF(AND(Q$4,Q$3&gt;0),Inputs!$G$16*Inputs!$G$17*(1+Inputs!$G$15)^(Q$3-1),0)</f>
        <v>1875000</v>
      </c>
      <c r="R5" s="66">
        <f>IF(AND(R$4,R$3&gt;0),Inputs!$G$16*Inputs!$G$17*(1+Inputs!$G$15)^(R$3-1),0)</f>
        <v>1875000</v>
      </c>
      <c r="S5" s="66">
        <f>IF(AND(S$4,S$3&gt;0),Inputs!$G$16*Inputs!$G$17*(1+Inputs!$G$15)^(S$3-1),0)</f>
        <v>1875000</v>
      </c>
      <c r="T5" s="66">
        <f>IF(AND(T$4,T$3&gt;0),Inputs!$G$16*Inputs!$G$17*(1+Inputs!$G$15)^(T$3-1),0)</f>
        <v>1875000</v>
      </c>
      <c r="U5" s="66">
        <f>IF(AND(U$4,U$3&gt;0),Inputs!$G$16*Inputs!$G$17*(1+Inputs!$G$15)^(U$3-1),0)</f>
        <v>1875000</v>
      </c>
      <c r="V5" s="66">
        <f>IF(AND(V$4,V$3&gt;0),Inputs!$G$16*Inputs!$G$17*(1+Inputs!$G$15)^(V$3-1),0)</f>
        <v>1875000</v>
      </c>
      <c r="W5" s="66">
        <f>IF(AND(W$4,W$3&gt;0),Inputs!$G$16*Inputs!$G$17*(1+Inputs!$G$15)^(W$3-1),0)</f>
        <v>1875000</v>
      </c>
      <c r="X5" s="66">
        <f>IF(AND(X$4,X$3&gt;0),Inputs!$G$16*Inputs!$G$17*(1+Inputs!$G$15)^(X$3-1),0)</f>
        <v>1875000</v>
      </c>
      <c r="Y5" s="66">
        <f>IF(AND(Y$4,Y$3&gt;0),Inputs!$G$16*Inputs!$G$17*(1+Inputs!$G$15)^(Y$3-1),0)</f>
        <v>1875000</v>
      </c>
      <c r="Z5" s="66">
        <f>IF(AND(Z$4,Z$3&gt;0),Inputs!$G$16*Inputs!$G$17*(1+Inputs!$G$15)^(Z$3-1),0)</f>
        <v>1875000</v>
      </c>
      <c r="AA5" s="66">
        <f>IF(AND(AA$4,AA$3&gt;0),Inputs!$G$16*Inputs!$G$17*(1+Inputs!$G$15)^(AA$3-1),0)</f>
        <v>1875000</v>
      </c>
    </row>
    <row r="6" spans="1:27">
      <c r="A6" s="65" t="s">
        <v>153</v>
      </c>
      <c r="B6" s="66">
        <f>IF(AND(B$4,B$3&gt;0),MIN(B5*Inputs!$G$18,Inputs!$G$20),0)</f>
        <v>0</v>
      </c>
      <c r="C6" s="66">
        <f>IF(AND(C$4,C$3&gt;0),MIN(C5*Inputs!$G$18,Inputs!$G$20),0)</f>
        <v>300000</v>
      </c>
      <c r="D6" s="66">
        <f>IF(AND(D$4,D$3&gt;0),MIN(D5*Inputs!$G$18,Inputs!$G$20),0)</f>
        <v>300000</v>
      </c>
      <c r="E6" s="66">
        <f>IF(AND(E$4,E$3&gt;0),MIN(E5*Inputs!$G$18,Inputs!$G$20),0)</f>
        <v>300000</v>
      </c>
      <c r="F6" s="66">
        <f>IF(AND(F$4,F$3&gt;0),MIN(F5*Inputs!$G$18,Inputs!$G$20),0)</f>
        <v>300000</v>
      </c>
      <c r="G6" s="66">
        <f>IF(AND(G$4,G$3&gt;0),MIN(G5*Inputs!$G$18,Inputs!$G$20),0)</f>
        <v>300000</v>
      </c>
      <c r="H6" s="66">
        <f>IF(AND(H$4,H$3&gt;0),MIN(H5*Inputs!$G$18,Inputs!$G$20),0)</f>
        <v>300000</v>
      </c>
      <c r="I6" s="66">
        <f>IF(AND(I$4,I$3&gt;0),MIN(I5*Inputs!$G$18,Inputs!$G$20),0)</f>
        <v>300000</v>
      </c>
      <c r="J6" s="66">
        <f>IF(AND(J$4,J$3&gt;0),MIN(J5*Inputs!$G$18,Inputs!$G$20),0)</f>
        <v>300000</v>
      </c>
      <c r="K6" s="66">
        <f>IF(AND(K$4,K$3&gt;0),MIN(K5*Inputs!$G$18,Inputs!$G$20),0)</f>
        <v>300000</v>
      </c>
      <c r="L6" s="66">
        <f>IF(AND(L$4,L$3&gt;0),MIN(L5*Inputs!$G$18,Inputs!$G$20),0)</f>
        <v>300000</v>
      </c>
      <c r="M6" s="66">
        <f>IF(AND(M$4,M$3&gt;0),MIN(M5*Inputs!$G$18,Inputs!$G$20),0)</f>
        <v>300000</v>
      </c>
      <c r="N6" s="66">
        <f>IF(AND(N$4,N$3&gt;0),MIN(N5*Inputs!$G$18,Inputs!$G$20),0)</f>
        <v>300000</v>
      </c>
      <c r="O6" s="66">
        <f>IF(AND(O$4,O$3&gt;0),MIN(O5*Inputs!$G$18,Inputs!$G$20),0)</f>
        <v>300000</v>
      </c>
      <c r="P6" s="66">
        <f>IF(AND(P$4,P$3&gt;0),MIN(P5*Inputs!$G$18,Inputs!$G$20),0)</f>
        <v>300000</v>
      </c>
      <c r="Q6" s="66">
        <f>IF(AND(Q$4,Q$3&gt;0),MIN(Q5*Inputs!$G$18,Inputs!$G$20),0)</f>
        <v>300000</v>
      </c>
      <c r="R6" s="66">
        <f>IF(AND(R$4,R$3&gt;0),MIN(R5*Inputs!$G$18,Inputs!$G$20),0)</f>
        <v>300000</v>
      </c>
      <c r="S6" s="66">
        <f>IF(AND(S$4,S$3&gt;0),MIN(S5*Inputs!$G$18,Inputs!$G$20),0)</f>
        <v>300000</v>
      </c>
      <c r="T6" s="66">
        <f>IF(AND(T$4,T$3&gt;0),MIN(T5*Inputs!$G$18,Inputs!$G$20),0)</f>
        <v>300000</v>
      </c>
      <c r="U6" s="66">
        <f>IF(AND(U$4,U$3&gt;0),MIN(U5*Inputs!$G$18,Inputs!$G$20),0)</f>
        <v>300000</v>
      </c>
      <c r="V6" s="66">
        <f>IF(AND(V$4,V$3&gt;0),MIN(V5*Inputs!$G$18,Inputs!$G$20),0)</f>
        <v>300000</v>
      </c>
      <c r="W6" s="66">
        <f>IF(AND(W$4,W$3&gt;0),MIN(W5*Inputs!$G$18,Inputs!$G$20),0)</f>
        <v>300000</v>
      </c>
      <c r="X6" s="66">
        <f>IF(AND(X$4,X$3&gt;0),MIN(X5*Inputs!$G$18,Inputs!$G$20),0)</f>
        <v>300000</v>
      </c>
      <c r="Y6" s="66">
        <f>IF(AND(Y$4,Y$3&gt;0),MIN(Y5*Inputs!$G$18,Inputs!$G$20),0)</f>
        <v>300000</v>
      </c>
      <c r="Z6" s="66">
        <f>IF(AND(Z$4,Z$3&gt;0),MIN(Z5*Inputs!$G$18,Inputs!$G$20),0)</f>
        <v>300000</v>
      </c>
      <c r="AA6" s="66">
        <f>IF(AND(AA$4,AA$3&gt;0),MIN(AA5*Inputs!$G$18,Inputs!$G$20),0)</f>
        <v>300000</v>
      </c>
    </row>
    <row r="7" spans="1:27">
      <c r="A7" s="65" t="s">
        <v>155</v>
      </c>
      <c r="B7" s="66">
        <f t="shared" ref="B7:AA7" si="0">IF(AND(B$4,B$3&gt;0),MAX(B5-B6,0),0)</f>
        <v>0</v>
      </c>
      <c r="C7" s="66">
        <f t="shared" si="0"/>
        <v>1575000</v>
      </c>
      <c r="D7" s="66">
        <f t="shared" si="0"/>
        <v>1575000</v>
      </c>
      <c r="E7" s="66">
        <f t="shared" si="0"/>
        <v>1575000</v>
      </c>
      <c r="F7" s="66">
        <f t="shared" si="0"/>
        <v>1575000</v>
      </c>
      <c r="G7" s="66">
        <f t="shared" si="0"/>
        <v>1575000</v>
      </c>
      <c r="H7" s="66">
        <f t="shared" si="0"/>
        <v>1575000</v>
      </c>
      <c r="I7" s="66">
        <f t="shared" si="0"/>
        <v>1575000</v>
      </c>
      <c r="J7" s="66">
        <f t="shared" si="0"/>
        <v>1575000</v>
      </c>
      <c r="K7" s="66">
        <f t="shared" si="0"/>
        <v>1575000</v>
      </c>
      <c r="L7" s="66">
        <f t="shared" si="0"/>
        <v>1575000</v>
      </c>
      <c r="M7" s="66">
        <f t="shared" si="0"/>
        <v>1575000</v>
      </c>
      <c r="N7" s="66">
        <f t="shared" si="0"/>
        <v>1575000</v>
      </c>
      <c r="O7" s="66">
        <f t="shared" si="0"/>
        <v>1575000</v>
      </c>
      <c r="P7" s="66">
        <f t="shared" si="0"/>
        <v>1575000</v>
      </c>
      <c r="Q7" s="66">
        <f t="shared" si="0"/>
        <v>1575000</v>
      </c>
      <c r="R7" s="66">
        <f t="shared" si="0"/>
        <v>1575000</v>
      </c>
      <c r="S7" s="66">
        <f t="shared" si="0"/>
        <v>1575000</v>
      </c>
      <c r="T7" s="66">
        <f t="shared" si="0"/>
        <v>1575000</v>
      </c>
      <c r="U7" s="66">
        <f t="shared" si="0"/>
        <v>1575000</v>
      </c>
      <c r="V7" s="66">
        <f t="shared" si="0"/>
        <v>1575000</v>
      </c>
      <c r="W7" s="66">
        <f t="shared" si="0"/>
        <v>1575000</v>
      </c>
      <c r="X7" s="66">
        <f t="shared" si="0"/>
        <v>1575000</v>
      </c>
      <c r="Y7" s="66">
        <f t="shared" si="0"/>
        <v>1575000</v>
      </c>
      <c r="Z7" s="66">
        <f t="shared" si="0"/>
        <v>1575000</v>
      </c>
      <c r="AA7" s="66">
        <f t="shared" si="0"/>
        <v>1575000</v>
      </c>
    </row>
    <row r="8" spans="1:27">
      <c r="A8" s="65" t="s">
        <v>157</v>
      </c>
      <c r="B8" s="66">
        <f>IF(AND(B$4,B$3&gt;0),MIN(Inputs!$G$19*(1+Inputs!$G$15)^(B$3-1),Inputs!$G$21),0)</f>
        <v>0</v>
      </c>
      <c r="C8" s="66">
        <f>IF(AND(C$4,C$3&gt;0),MIN(Inputs!$G$19*(1+Inputs!$G$15)^(C$3-1),Inputs!$G$21),0)</f>
        <v>350000</v>
      </c>
      <c r="D8" s="66">
        <f>IF(AND(D$4,D$3&gt;0),MIN(Inputs!$G$19*(1+Inputs!$G$15)^(D$3-1),Inputs!$G$21),0)</f>
        <v>350000</v>
      </c>
      <c r="E8" s="66">
        <f>IF(AND(E$4,E$3&gt;0),MIN(Inputs!$G$19*(1+Inputs!$G$15)^(E$3-1),Inputs!$G$21),0)</f>
        <v>350000</v>
      </c>
      <c r="F8" s="66">
        <f>IF(AND(F$4,F$3&gt;0),MIN(Inputs!$G$19*(1+Inputs!$G$15)^(F$3-1),Inputs!$G$21),0)</f>
        <v>350000</v>
      </c>
      <c r="G8" s="66">
        <f>IF(AND(G$4,G$3&gt;0),MIN(Inputs!$G$19*(1+Inputs!$G$15)^(G$3-1),Inputs!$G$21),0)</f>
        <v>350000</v>
      </c>
      <c r="H8" s="66">
        <f>IF(AND(H$4,H$3&gt;0),MIN(Inputs!$G$19*(1+Inputs!$G$15)^(H$3-1),Inputs!$G$21),0)</f>
        <v>350000</v>
      </c>
      <c r="I8" s="66">
        <f>IF(AND(I$4,I$3&gt;0),MIN(Inputs!$G$19*(1+Inputs!$G$15)^(I$3-1),Inputs!$G$21),0)</f>
        <v>350000</v>
      </c>
      <c r="J8" s="66">
        <f>IF(AND(J$4,J$3&gt;0),MIN(Inputs!$G$19*(1+Inputs!$G$15)^(J$3-1),Inputs!$G$21),0)</f>
        <v>350000</v>
      </c>
      <c r="K8" s="66">
        <f>IF(AND(K$4,K$3&gt;0),MIN(Inputs!$G$19*(1+Inputs!$G$15)^(K$3-1),Inputs!$G$21),0)</f>
        <v>350000</v>
      </c>
      <c r="L8" s="66">
        <f>IF(AND(L$4,L$3&gt;0),MIN(Inputs!$G$19*(1+Inputs!$G$15)^(L$3-1),Inputs!$G$21),0)</f>
        <v>350000</v>
      </c>
      <c r="M8" s="66">
        <f>IF(AND(M$4,M$3&gt;0),MIN(Inputs!$G$19*(1+Inputs!$G$15)^(M$3-1),Inputs!$G$21),0)</f>
        <v>350000</v>
      </c>
      <c r="N8" s="66">
        <f>IF(AND(N$4,N$3&gt;0),MIN(Inputs!$G$19*(1+Inputs!$G$15)^(N$3-1),Inputs!$G$21),0)</f>
        <v>350000</v>
      </c>
      <c r="O8" s="66">
        <f>IF(AND(O$4,O$3&gt;0),MIN(Inputs!$G$19*(1+Inputs!$G$15)^(O$3-1),Inputs!$G$21),0)</f>
        <v>350000</v>
      </c>
      <c r="P8" s="66">
        <f>IF(AND(P$4,P$3&gt;0),MIN(Inputs!$G$19*(1+Inputs!$G$15)^(P$3-1),Inputs!$G$21),0)</f>
        <v>350000</v>
      </c>
      <c r="Q8" s="66">
        <f>IF(AND(Q$4,Q$3&gt;0),MIN(Inputs!$G$19*(1+Inputs!$G$15)^(Q$3-1),Inputs!$G$21),0)</f>
        <v>350000</v>
      </c>
      <c r="R8" s="66">
        <f>IF(AND(R$4,R$3&gt;0),MIN(Inputs!$G$19*(1+Inputs!$G$15)^(R$3-1),Inputs!$G$21),0)</f>
        <v>350000</v>
      </c>
      <c r="S8" s="66">
        <f>IF(AND(S$4,S$3&gt;0),MIN(Inputs!$G$19*(1+Inputs!$G$15)^(S$3-1),Inputs!$G$21),0)</f>
        <v>350000</v>
      </c>
      <c r="T8" s="66">
        <f>IF(AND(T$4,T$3&gt;0),MIN(Inputs!$G$19*(1+Inputs!$G$15)^(T$3-1),Inputs!$G$21),0)</f>
        <v>350000</v>
      </c>
      <c r="U8" s="66">
        <f>IF(AND(U$4,U$3&gt;0),MIN(Inputs!$G$19*(1+Inputs!$G$15)^(U$3-1),Inputs!$G$21),0)</f>
        <v>350000</v>
      </c>
      <c r="V8" s="66">
        <f>IF(AND(V$4,V$3&gt;0),MIN(Inputs!$G$19*(1+Inputs!$G$15)^(V$3-1),Inputs!$G$21),0)</f>
        <v>350000</v>
      </c>
      <c r="W8" s="66">
        <f>IF(AND(W$4,W$3&gt;0),MIN(Inputs!$G$19*(1+Inputs!$G$15)^(W$3-1),Inputs!$G$21),0)</f>
        <v>350000</v>
      </c>
      <c r="X8" s="66">
        <f>IF(AND(X$4,X$3&gt;0),MIN(Inputs!$G$19*(1+Inputs!$G$15)^(X$3-1),Inputs!$G$21),0)</f>
        <v>350000</v>
      </c>
      <c r="Y8" s="66">
        <f>IF(AND(Y$4,Y$3&gt;0),MIN(Inputs!$G$19*(1+Inputs!$G$15)^(Y$3-1),Inputs!$G$21),0)</f>
        <v>350000</v>
      </c>
      <c r="Z8" s="66">
        <f>IF(AND(Z$4,Z$3&gt;0),MIN(Inputs!$G$19*(1+Inputs!$G$15)^(Z$3-1),Inputs!$G$21),0)</f>
        <v>350000</v>
      </c>
      <c r="AA8" s="66">
        <f>IF(AND(AA$4,AA$3&gt;0),MIN(Inputs!$G$19*(1+Inputs!$G$15)^(AA$3-1),Inputs!$G$21),0)</f>
        <v>350000</v>
      </c>
    </row>
    <row r="9" spans="1:27">
      <c r="A9" s="65"/>
    </row>
    <row r="10" spans="1:27">
      <c r="A10" s="65" t="s">
        <v>159</v>
      </c>
      <c r="B10" s="67">
        <f>IF(AND(B$4,B$3&gt;0),B6*Inputs!$G$22*(1+Inputs!$G$11)^(B$3-1),0)</f>
        <v>0</v>
      </c>
      <c r="C10" s="67">
        <f>IF(AND(C$4,C$3&gt;0),C6*Inputs!$G$22*(1+Inputs!$G$11)^(C$3-1),0)</f>
        <v>69000</v>
      </c>
      <c r="D10" s="67">
        <f>IF(AND(D$4,D$3&gt;0),D6*Inputs!$G$22*(1+Inputs!$G$11)^(D$3-1),0)</f>
        <v>71070</v>
      </c>
      <c r="E10" s="67">
        <f>IF(AND(E$4,E$3&gt;0),E6*Inputs!$G$22*(1+Inputs!$G$11)^(E$3-1),0)</f>
        <v>73202.099999999991</v>
      </c>
      <c r="F10" s="67">
        <f>IF(AND(F$4,F$3&gt;0),F6*Inputs!$G$22*(1+Inputs!$G$11)^(F$3-1),0)</f>
        <v>75398.163</v>
      </c>
      <c r="G10" s="67">
        <f>IF(AND(G$4,G$3&gt;0),G6*Inputs!$G$22*(1+Inputs!$G$11)^(G$3-1),0)</f>
        <v>77660.107889999999</v>
      </c>
      <c r="H10" s="67">
        <f>IF(AND(H$4,H$3&gt;0),H6*Inputs!$G$22*(1+Inputs!$G$11)^(H$3-1),0)</f>
        <v>79989.911126699983</v>
      </c>
      <c r="I10" s="67">
        <f>IF(AND(I$4,I$3&gt;0),I6*Inputs!$G$22*(1+Inputs!$G$11)^(I$3-1),0)</f>
        <v>82389.608460500996</v>
      </c>
      <c r="J10" s="67">
        <f>IF(AND(J$4,J$3&gt;0),J6*Inputs!$G$22*(1+Inputs!$G$11)^(J$3-1),0)</f>
        <v>84861.296714316035</v>
      </c>
      <c r="K10" s="67">
        <f>IF(AND(K$4,K$3&gt;0),K6*Inputs!$G$22*(1+Inputs!$G$11)^(K$3-1),0)</f>
        <v>87407.135615745501</v>
      </c>
      <c r="L10" s="67">
        <f>IF(AND(L$4,L$3&gt;0),L6*Inputs!$G$22*(1+Inputs!$G$11)^(L$3-1),0)</f>
        <v>90029.349684217872</v>
      </c>
      <c r="M10" s="67">
        <f>IF(AND(M$4,M$3&gt;0),M6*Inputs!$G$22*(1+Inputs!$G$11)^(M$3-1),0)</f>
        <v>92730.2301747444</v>
      </c>
      <c r="N10" s="67">
        <f>IF(AND(N$4,N$3&gt;0),N6*Inputs!$G$22*(1+Inputs!$G$11)^(N$3-1),0)</f>
        <v>95512.137079986744</v>
      </c>
      <c r="O10" s="67">
        <f>IF(AND(O$4,O$3&gt;0),O6*Inputs!$G$22*(1+Inputs!$G$11)^(O$3-1),0)</f>
        <v>98377.50119238632</v>
      </c>
      <c r="P10" s="67">
        <f>IF(AND(P$4,P$3&gt;0),P6*Inputs!$G$22*(1+Inputs!$G$11)^(P$3-1),0)</f>
        <v>101328.82622815791</v>
      </c>
      <c r="Q10" s="67">
        <f>IF(AND(Q$4,Q$3&gt;0),Q6*Inputs!$G$22*(1+Inputs!$G$11)^(Q$3-1),0)</f>
        <v>104368.69101500265</v>
      </c>
      <c r="R10" s="67">
        <f>IF(AND(R$4,R$3&gt;0),R6*Inputs!$G$22*(1+Inputs!$G$11)^(R$3-1),0)</f>
        <v>107499.75174545274</v>
      </c>
      <c r="S10" s="67">
        <f>IF(AND(S$4,S$3&gt;0),S6*Inputs!$G$22*(1+Inputs!$G$11)^(S$3-1),0)</f>
        <v>110724.7442978163</v>
      </c>
      <c r="T10" s="67">
        <f>IF(AND(T$4,T$3&gt;0),T6*Inputs!$G$22*(1+Inputs!$G$11)^(T$3-1),0)</f>
        <v>114046.4866267508</v>
      </c>
      <c r="U10" s="67">
        <f>IF(AND(U$4,U$3&gt;0),U6*Inputs!$G$22*(1+Inputs!$G$11)^(U$3-1),0)</f>
        <v>117467.88122555333</v>
      </c>
      <c r="V10" s="67">
        <f>IF(AND(V$4,V$3&gt;0),V6*Inputs!$G$22*(1+Inputs!$G$11)^(V$3-1),0)</f>
        <v>120991.91766231992</v>
      </c>
      <c r="W10" s="67">
        <f>IF(AND(W$4,W$3&gt;0),W6*Inputs!$G$22*(1+Inputs!$G$11)^(W$3-1),0)</f>
        <v>124621.67519218952</v>
      </c>
      <c r="X10" s="67">
        <f>IF(AND(X$4,X$3&gt;0),X6*Inputs!$G$22*(1+Inputs!$G$11)^(X$3-1),0)</f>
        <v>128360.32544795518</v>
      </c>
      <c r="Y10" s="67">
        <f>IF(AND(Y$4,Y$3&gt;0),Y6*Inputs!$G$22*(1+Inputs!$G$11)^(Y$3-1),0)</f>
        <v>132211.13521139385</v>
      </c>
      <c r="Z10" s="67">
        <f>IF(AND(Z$4,Z$3&gt;0),Z6*Inputs!$G$22*(1+Inputs!$G$11)^(Z$3-1),0)</f>
        <v>136177.46926773567</v>
      </c>
      <c r="AA10" s="67">
        <f>IF(AND(AA$4,AA$3&gt;0),AA6*Inputs!$G$22*(1+Inputs!$G$11)^(AA$3-1),0)</f>
        <v>140262.79334576771</v>
      </c>
    </row>
    <row r="11" spans="1:27">
      <c r="A11" s="65" t="s">
        <v>161</v>
      </c>
      <c r="B11" s="67">
        <f>IF(AND(B$4,B$3&gt;0),B7*Inputs!$G$23*(1+Inputs!$G$12)^(B$3-1),0)</f>
        <v>0</v>
      </c>
      <c r="C11" s="67">
        <f>IF(AND(C$4,C$3&gt;0),C7*Inputs!$G$23*(1+Inputs!$G$12)^(C$3-1),0)</f>
        <v>141750</v>
      </c>
      <c r="D11" s="67">
        <f>IF(AND(D$4,D$3&gt;0),D7*Inputs!$G$23*(1+Inputs!$G$12)^(D$3-1),0)</f>
        <v>144585</v>
      </c>
      <c r="E11" s="67">
        <f>IF(AND(E$4,E$3&gt;0),E7*Inputs!$G$23*(1+Inputs!$G$12)^(E$3-1),0)</f>
        <v>147476.70000000001</v>
      </c>
      <c r="F11" s="67">
        <f>IF(AND(F$4,F$3&gt;0),F7*Inputs!$G$23*(1+Inputs!$G$12)^(F$3-1),0)</f>
        <v>150426.234</v>
      </c>
      <c r="G11" s="67">
        <f>IF(AND(G$4,G$3&gt;0),G7*Inputs!$G$23*(1+Inputs!$G$12)^(G$3-1),0)</f>
        <v>153434.75868</v>
      </c>
      <c r="H11" s="67">
        <f>IF(AND(H$4,H$3&gt;0),H7*Inputs!$G$23*(1+Inputs!$G$12)^(H$3-1),0)</f>
        <v>156503.45385359999</v>
      </c>
      <c r="I11" s="67">
        <f>IF(AND(I$4,I$3&gt;0),I7*Inputs!$G$23*(1+Inputs!$G$12)^(I$3-1),0)</f>
        <v>159633.52293067201</v>
      </c>
      <c r="J11" s="67">
        <f>IF(AND(J$4,J$3&gt;0),J7*Inputs!$G$23*(1+Inputs!$G$12)^(J$3-1),0)</f>
        <v>162826.19338928541</v>
      </c>
      <c r="K11" s="67">
        <f>IF(AND(K$4,K$3&gt;0),K7*Inputs!$G$23*(1+Inputs!$G$12)^(K$3-1),0)</f>
        <v>166082.71725707114</v>
      </c>
      <c r="L11" s="67">
        <f>IF(AND(L$4,L$3&gt;0),L7*Inputs!$G$23*(1+Inputs!$G$12)^(L$3-1),0)</f>
        <v>169404.37160221257</v>
      </c>
      <c r="M11" s="67">
        <f>IF(AND(M$4,M$3&gt;0),M7*Inputs!$G$23*(1+Inputs!$G$12)^(M$3-1),0)</f>
        <v>172792.45903425681</v>
      </c>
      <c r="N11" s="67">
        <f>IF(AND(N$4,N$3&gt;0),N7*Inputs!$G$23*(1+Inputs!$G$12)^(N$3-1),0)</f>
        <v>176248.30821494194</v>
      </c>
      <c r="O11" s="67">
        <f>IF(AND(O$4,O$3&gt;0),O7*Inputs!$G$23*(1+Inputs!$G$12)^(O$3-1),0)</f>
        <v>179773.27437924079</v>
      </c>
      <c r="P11" s="67">
        <f>IF(AND(P$4,P$3&gt;0),P7*Inputs!$G$23*(1+Inputs!$G$12)^(P$3-1),0)</f>
        <v>183368.73986682561</v>
      </c>
      <c r="Q11" s="67">
        <f>IF(AND(Q$4,Q$3&gt;0),Q7*Inputs!$G$23*(1+Inputs!$G$12)^(Q$3-1),0)</f>
        <v>187036.11466416213</v>
      </c>
      <c r="R11" s="67">
        <f>IF(AND(R$4,R$3&gt;0),R7*Inputs!$G$23*(1+Inputs!$G$12)^(R$3-1),0)</f>
        <v>190776.83695744531</v>
      </c>
      <c r="S11" s="67">
        <f>IF(AND(S$4,S$3&gt;0),S7*Inputs!$G$23*(1+Inputs!$G$12)^(S$3-1),0)</f>
        <v>194592.37369659427</v>
      </c>
      <c r="T11" s="67">
        <f>IF(AND(T$4,T$3&gt;0),T7*Inputs!$G$23*(1+Inputs!$G$12)^(T$3-1),0)</f>
        <v>198484.22117052617</v>
      </c>
      <c r="U11" s="67">
        <f>IF(AND(U$4,U$3&gt;0),U7*Inputs!$G$23*(1+Inputs!$G$12)^(U$3-1),0)</f>
        <v>202453.90559393665</v>
      </c>
      <c r="V11" s="67">
        <f>IF(AND(V$4,V$3&gt;0),V7*Inputs!$G$23*(1+Inputs!$G$12)^(V$3-1),0)</f>
        <v>206502.98370581539</v>
      </c>
      <c r="W11" s="67">
        <f>IF(AND(W$4,W$3&gt;0),W7*Inputs!$G$23*(1+Inputs!$G$12)^(W$3-1),0)</f>
        <v>210633.04337993171</v>
      </c>
      <c r="X11" s="67">
        <f>IF(AND(X$4,X$3&gt;0),X7*Inputs!$G$23*(1+Inputs!$G$12)^(X$3-1),0)</f>
        <v>214845.70424753032</v>
      </c>
      <c r="Y11" s="67">
        <f>IF(AND(Y$4,Y$3&gt;0),Y7*Inputs!$G$23*(1+Inputs!$G$12)^(Y$3-1),0)</f>
        <v>219142.61833248095</v>
      </c>
      <c r="Z11" s="67">
        <f>IF(AND(Z$4,Z$3&gt;0),Z7*Inputs!$G$23*(1+Inputs!$G$12)^(Z$3-1),0)</f>
        <v>223525.47069913053</v>
      </c>
      <c r="AA11" s="67">
        <f>IF(AND(AA$4,AA$3&gt;0),AA7*Inputs!$G$23*(1+Inputs!$G$12)^(AA$3-1),0)</f>
        <v>227995.98011311315</v>
      </c>
    </row>
    <row r="12" spans="1:27">
      <c r="A12" s="65" t="s">
        <v>163</v>
      </c>
      <c r="B12" s="67">
        <f>IF(AND(B$4,B$3&gt;0),B8*Inputs!$G$24*(1+Inputs!$G$13)^(B$3-1),0)</f>
        <v>0</v>
      </c>
      <c r="C12" s="67">
        <f>IF(AND(C$4,C$3&gt;0),C8*Inputs!$G$24*(1+Inputs!$G$13)^(C$3-1),0)</f>
        <v>24500.000000000004</v>
      </c>
      <c r="D12" s="67">
        <f>IF(AND(D$4,D$3&gt;0),D8*Inputs!$G$24*(1+Inputs!$G$13)^(D$3-1),0)</f>
        <v>25235.000000000004</v>
      </c>
      <c r="E12" s="67">
        <f>IF(AND(E$4,E$3&gt;0),E8*Inputs!$G$24*(1+Inputs!$G$13)^(E$3-1),0)</f>
        <v>25992.050000000003</v>
      </c>
      <c r="F12" s="67">
        <f>IF(AND(F$4,F$3&gt;0),F8*Inputs!$G$24*(1+Inputs!$G$13)^(F$3-1),0)</f>
        <v>26771.811500000003</v>
      </c>
      <c r="G12" s="67">
        <f>IF(AND(G$4,G$3&gt;0),G8*Inputs!$G$24*(1+Inputs!$G$13)^(G$3-1),0)</f>
        <v>27574.965845000002</v>
      </c>
      <c r="H12" s="67">
        <f>IF(AND(H$4,H$3&gt;0),H8*Inputs!$G$24*(1+Inputs!$G$13)^(H$3-1),0)</f>
        <v>28402.21482035</v>
      </c>
      <c r="I12" s="67">
        <f>IF(AND(I$4,I$3&gt;0),I8*Inputs!$G$24*(1+Inputs!$G$13)^(I$3-1),0)</f>
        <v>29254.281264960504</v>
      </c>
      <c r="J12" s="67">
        <f>IF(AND(J$4,J$3&gt;0),J8*Inputs!$G$24*(1+Inputs!$G$13)^(J$3-1),0)</f>
        <v>30131.909702909317</v>
      </c>
      <c r="K12" s="67">
        <f>IF(AND(K$4,K$3&gt;0),K8*Inputs!$G$24*(1+Inputs!$G$13)^(K$3-1),0)</f>
        <v>31035.866993996595</v>
      </c>
      <c r="L12" s="67">
        <f>IF(AND(L$4,L$3&gt;0),L8*Inputs!$G$24*(1+Inputs!$G$13)^(L$3-1),0)</f>
        <v>31966.943003816494</v>
      </c>
      <c r="M12" s="67">
        <f>IF(AND(M$4,M$3&gt;0),M8*Inputs!$G$24*(1+Inputs!$G$13)^(M$3-1),0)</f>
        <v>32925.951293930986</v>
      </c>
      <c r="N12" s="67">
        <f>IF(AND(N$4,N$3&gt;0),N8*Inputs!$G$24*(1+Inputs!$G$13)^(N$3-1),0)</f>
        <v>33913.729832748919</v>
      </c>
      <c r="O12" s="67">
        <f>IF(AND(O$4,O$3&gt;0),O8*Inputs!$G$24*(1+Inputs!$G$13)^(O$3-1),0)</f>
        <v>34931.141727731381</v>
      </c>
      <c r="P12" s="67">
        <f>IF(AND(P$4,P$3&gt;0),P8*Inputs!$G$24*(1+Inputs!$G$13)^(P$3-1),0)</f>
        <v>35979.07597956332</v>
      </c>
      <c r="Q12" s="67">
        <f>IF(AND(Q$4,Q$3&gt;0),Q8*Inputs!$G$24*(1+Inputs!$G$13)^(Q$3-1),0)</f>
        <v>37058.448258950222</v>
      </c>
      <c r="R12" s="67">
        <f>IF(AND(R$4,R$3&gt;0),R8*Inputs!$G$24*(1+Inputs!$G$13)^(R$3-1),0)</f>
        <v>38170.201706718733</v>
      </c>
      <c r="S12" s="67">
        <f>IF(AND(S$4,S$3&gt;0),S8*Inputs!$G$24*(1+Inputs!$G$13)^(S$3-1),0)</f>
        <v>39315.307757920287</v>
      </c>
      <c r="T12" s="67">
        <f>IF(AND(T$4,T$3&gt;0),T8*Inputs!$G$24*(1+Inputs!$G$13)^(T$3-1),0)</f>
        <v>40494.766990657896</v>
      </c>
      <c r="U12" s="67">
        <f>IF(AND(U$4,U$3&gt;0),U8*Inputs!$G$24*(1+Inputs!$G$13)^(U$3-1),0)</f>
        <v>41709.610000377637</v>
      </c>
      <c r="V12" s="67">
        <f>IF(AND(V$4,V$3&gt;0),V8*Inputs!$G$24*(1+Inputs!$G$13)^(V$3-1),0)</f>
        <v>42960.898300388966</v>
      </c>
      <c r="W12" s="67">
        <f>IF(AND(W$4,W$3&gt;0),W8*Inputs!$G$24*(1+Inputs!$G$13)^(W$3-1),0)</f>
        <v>44249.725249400632</v>
      </c>
      <c r="X12" s="67">
        <f>IF(AND(X$4,X$3&gt;0),X8*Inputs!$G$24*(1+Inputs!$G$13)^(X$3-1),0)</f>
        <v>45577.217006882645</v>
      </c>
      <c r="Y12" s="67">
        <f>IF(AND(Y$4,Y$3&gt;0),Y8*Inputs!$G$24*(1+Inputs!$G$13)^(Y$3-1),0)</f>
        <v>46944.533517089127</v>
      </c>
      <c r="Z12" s="67">
        <f>IF(AND(Z$4,Z$3&gt;0),Z8*Inputs!$G$24*(1+Inputs!$G$13)^(Z$3-1),0)</f>
        <v>48352.869522601803</v>
      </c>
      <c r="AA12" s="67">
        <f>IF(AND(AA$4,AA$3&gt;0),AA8*Inputs!$G$24*(1+Inputs!$G$13)^(AA$3-1),0)</f>
        <v>49803.455608279852</v>
      </c>
    </row>
    <row r="13" spans="1:27">
      <c r="A13" s="65" t="s">
        <v>179</v>
      </c>
      <c r="B13" s="67">
        <f>IF(AND(B$4,B$3&gt;0),Inputs!$G$25*(1+Inputs!$G$14)^(B$3-1),0)</f>
        <v>0</v>
      </c>
      <c r="C13" s="67">
        <f>IF(AND(C$4,C$3&gt;0),Inputs!$G$25*(1+Inputs!$G$14)^(C$3-1),0)</f>
        <v>25000</v>
      </c>
      <c r="D13" s="67">
        <f>IF(AND(D$4,D$3&gt;0),Inputs!$G$25*(1+Inputs!$G$14)^(D$3-1),0)</f>
        <v>25750</v>
      </c>
      <c r="E13" s="67">
        <f>IF(AND(E$4,E$3&gt;0),Inputs!$G$25*(1+Inputs!$G$14)^(E$3-1),0)</f>
        <v>26522.5</v>
      </c>
      <c r="F13" s="67">
        <f>IF(AND(F$4,F$3&gt;0),Inputs!$G$25*(1+Inputs!$G$14)^(F$3-1),0)</f>
        <v>27318.174999999999</v>
      </c>
      <c r="G13" s="67">
        <f>IF(AND(G$4,G$3&gt;0),Inputs!$G$25*(1+Inputs!$G$14)^(G$3-1),0)</f>
        <v>28137.720249999998</v>
      </c>
      <c r="H13" s="67">
        <f>IF(AND(H$4,H$3&gt;0),Inputs!$G$25*(1+Inputs!$G$14)^(H$3-1),0)</f>
        <v>28981.851857499994</v>
      </c>
      <c r="I13" s="67">
        <f>IF(AND(I$4,I$3&gt;0),Inputs!$G$25*(1+Inputs!$G$14)^(I$3-1),0)</f>
        <v>29851.307413224997</v>
      </c>
      <c r="J13" s="67">
        <f>IF(AND(J$4,J$3&gt;0),Inputs!$G$25*(1+Inputs!$G$14)^(J$3-1),0)</f>
        <v>30746.84663562175</v>
      </c>
      <c r="K13" s="67">
        <f>IF(AND(K$4,K$3&gt;0),Inputs!$G$25*(1+Inputs!$G$14)^(K$3-1),0)</f>
        <v>31669.252034690398</v>
      </c>
      <c r="L13" s="67">
        <f>IF(AND(L$4,L$3&gt;0),Inputs!$G$25*(1+Inputs!$G$14)^(L$3-1),0)</f>
        <v>32619.329595731113</v>
      </c>
      <c r="M13" s="67">
        <f>IF(AND(M$4,M$3&gt;0),Inputs!$G$25*(1+Inputs!$G$14)^(M$3-1),0)</f>
        <v>33597.909483603042</v>
      </c>
      <c r="N13" s="67">
        <f>IF(AND(N$4,N$3&gt;0),Inputs!$G$25*(1+Inputs!$G$14)^(N$3-1),0)</f>
        <v>34605.846768111136</v>
      </c>
      <c r="O13" s="67">
        <f>IF(AND(O$4,O$3&gt;0),Inputs!$G$25*(1+Inputs!$G$14)^(O$3-1),0)</f>
        <v>35644.022171154465</v>
      </c>
      <c r="P13" s="67">
        <f>IF(AND(P$4,P$3&gt;0),Inputs!$G$25*(1+Inputs!$G$14)^(P$3-1),0)</f>
        <v>36713.342836289099</v>
      </c>
      <c r="Q13" s="67">
        <f>IF(AND(Q$4,Q$3&gt;0),Inputs!$G$25*(1+Inputs!$G$14)^(Q$3-1),0)</f>
        <v>37814.743121377775</v>
      </c>
      <c r="R13" s="67">
        <f>IF(AND(R$4,R$3&gt;0),Inputs!$G$25*(1+Inputs!$G$14)^(R$3-1),0)</f>
        <v>38949.185415019114</v>
      </c>
      <c r="S13" s="67">
        <f>IF(AND(S$4,S$3&gt;0),Inputs!$G$25*(1+Inputs!$G$14)^(S$3-1),0)</f>
        <v>40117.660977469677</v>
      </c>
      <c r="T13" s="67">
        <f>IF(AND(T$4,T$3&gt;0),Inputs!$G$25*(1+Inputs!$G$14)^(T$3-1),0)</f>
        <v>41321.190806793769</v>
      </c>
      <c r="U13" s="67">
        <f>IF(AND(U$4,U$3&gt;0),Inputs!$G$25*(1+Inputs!$G$14)^(U$3-1),0)</f>
        <v>42560.826530997583</v>
      </c>
      <c r="V13" s="67">
        <f>IF(AND(V$4,V$3&gt;0),Inputs!$G$25*(1+Inputs!$G$14)^(V$3-1),0)</f>
        <v>43837.651326927509</v>
      </c>
      <c r="W13" s="67">
        <f>IF(AND(W$4,W$3&gt;0),Inputs!$G$25*(1+Inputs!$G$14)^(W$3-1),0)</f>
        <v>45152.780866735331</v>
      </c>
      <c r="X13" s="67">
        <f>IF(AND(X$4,X$3&gt;0),Inputs!$G$25*(1+Inputs!$G$14)^(X$3-1),0)</f>
        <v>46507.364292737388</v>
      </c>
      <c r="Y13" s="67">
        <f>IF(AND(Y$4,Y$3&gt;0),Inputs!$G$25*(1+Inputs!$G$14)^(Y$3-1),0)</f>
        <v>47902.585221519512</v>
      </c>
      <c r="Z13" s="67">
        <f>IF(AND(Z$4,Z$3&gt;0),Inputs!$G$25*(1+Inputs!$G$14)^(Z$3-1),0)</f>
        <v>49339.662778165097</v>
      </c>
      <c r="AA13" s="67">
        <f>IF(AND(AA$4,AA$3&gt;0),Inputs!$G$25*(1+Inputs!$G$14)^(AA$3-1),0)</f>
        <v>50819.852661510042</v>
      </c>
    </row>
    <row r="14" spans="1:27">
      <c r="A14" s="65" t="s">
        <v>180</v>
      </c>
      <c r="B14" s="67">
        <f>IF(AND(B$4,B$3&gt;0),Inputs!$G$26*(1+Inputs!$G$14)^(B$3-1),0)</f>
        <v>0</v>
      </c>
      <c r="C14" s="67">
        <f>IF(AND(C$4,C$3&gt;0),Inputs!$G$26*(1+Inputs!$G$14)^(C$3-1),0)</f>
        <v>30000</v>
      </c>
      <c r="D14" s="67">
        <f>IF(AND(D$4,D$3&gt;0),Inputs!$G$26*(1+Inputs!$G$14)^(D$3-1),0)</f>
        <v>30900</v>
      </c>
      <c r="E14" s="67">
        <f>IF(AND(E$4,E$3&gt;0),Inputs!$G$26*(1+Inputs!$G$14)^(E$3-1),0)</f>
        <v>31827</v>
      </c>
      <c r="F14" s="67">
        <f>IF(AND(F$4,F$3&gt;0),Inputs!$G$26*(1+Inputs!$G$14)^(F$3-1),0)</f>
        <v>32781.81</v>
      </c>
      <c r="G14" s="67">
        <f>IF(AND(G$4,G$3&gt;0),Inputs!$G$26*(1+Inputs!$G$14)^(G$3-1),0)</f>
        <v>33765.264299999995</v>
      </c>
      <c r="H14" s="67">
        <f>IF(AND(H$4,H$3&gt;0),Inputs!$G$26*(1+Inputs!$G$14)^(H$3-1),0)</f>
        <v>34778.222228999992</v>
      </c>
      <c r="I14" s="67">
        <f>IF(AND(I$4,I$3&gt;0),Inputs!$G$26*(1+Inputs!$G$14)^(I$3-1),0)</f>
        <v>35821.568895869998</v>
      </c>
      <c r="J14" s="67">
        <f>IF(AND(J$4,J$3&gt;0),Inputs!$G$26*(1+Inputs!$G$14)^(J$3-1),0)</f>
        <v>36896.215962746101</v>
      </c>
      <c r="K14" s="67">
        <f>IF(AND(K$4,K$3&gt;0),Inputs!$G$26*(1+Inputs!$G$14)^(K$3-1),0)</f>
        <v>38003.102441628478</v>
      </c>
      <c r="L14" s="67">
        <f>IF(AND(L$4,L$3&gt;0),Inputs!$G$26*(1+Inputs!$G$14)^(L$3-1),0)</f>
        <v>39143.195514877334</v>
      </c>
      <c r="M14" s="67">
        <f>IF(AND(M$4,M$3&gt;0),Inputs!$G$26*(1+Inputs!$G$14)^(M$3-1),0)</f>
        <v>40317.491380323656</v>
      </c>
      <c r="N14" s="67">
        <f>IF(AND(N$4,N$3&gt;0),Inputs!$G$26*(1+Inputs!$G$14)^(N$3-1),0)</f>
        <v>41527.016121733366</v>
      </c>
      <c r="O14" s="67">
        <f>IF(AND(O$4,O$3&gt;0),Inputs!$G$26*(1+Inputs!$G$14)^(O$3-1),0)</f>
        <v>42772.826605385359</v>
      </c>
      <c r="P14" s="67">
        <f>IF(AND(P$4,P$3&gt;0),Inputs!$G$26*(1+Inputs!$G$14)^(P$3-1),0)</f>
        <v>44056.011403546916</v>
      </c>
      <c r="Q14" s="67">
        <f>IF(AND(Q$4,Q$3&gt;0),Inputs!$G$26*(1+Inputs!$G$14)^(Q$3-1),0)</f>
        <v>45377.691745653334</v>
      </c>
      <c r="R14" s="67">
        <f>IF(AND(R$4,R$3&gt;0),Inputs!$G$26*(1+Inputs!$G$14)^(R$3-1),0)</f>
        <v>46739.022498022932</v>
      </c>
      <c r="S14" s="67">
        <f>IF(AND(S$4,S$3&gt;0),Inputs!$G$26*(1+Inputs!$G$14)^(S$3-1),0)</f>
        <v>48141.193172963613</v>
      </c>
      <c r="T14" s="67">
        <f>IF(AND(T$4,T$3&gt;0),Inputs!$G$26*(1+Inputs!$G$14)^(T$3-1),0)</f>
        <v>49585.428968152519</v>
      </c>
      <c r="U14" s="67">
        <f>IF(AND(U$4,U$3&gt;0),Inputs!$G$26*(1+Inputs!$G$14)^(U$3-1),0)</f>
        <v>51072.9918371971</v>
      </c>
      <c r="V14" s="67">
        <f>IF(AND(V$4,V$3&gt;0),Inputs!$G$26*(1+Inputs!$G$14)^(V$3-1),0)</f>
        <v>52605.181592313005</v>
      </c>
      <c r="W14" s="67">
        <f>IF(AND(W$4,W$3&gt;0),Inputs!$G$26*(1+Inputs!$G$14)^(W$3-1),0)</f>
        <v>54183.337040082399</v>
      </c>
      <c r="X14" s="67">
        <f>IF(AND(X$4,X$3&gt;0),Inputs!$G$26*(1+Inputs!$G$14)^(X$3-1),0)</f>
        <v>55808.837151284861</v>
      </c>
      <c r="Y14" s="67">
        <f>IF(AND(Y$4,Y$3&gt;0),Inputs!$G$26*(1+Inputs!$G$14)^(Y$3-1),0)</f>
        <v>57483.102265823414</v>
      </c>
      <c r="Z14" s="67">
        <f>IF(AND(Z$4,Z$3&gt;0),Inputs!$G$26*(1+Inputs!$G$14)^(Z$3-1),0)</f>
        <v>59207.595333798119</v>
      </c>
      <c r="AA14" s="67">
        <f>IF(AND(AA$4,AA$3&gt;0),Inputs!$G$26*(1+Inputs!$G$14)^(AA$3-1),0)</f>
        <v>60983.823193812052</v>
      </c>
    </row>
    <row r="15" spans="1:27">
      <c r="A15" s="65" t="s">
        <v>181</v>
      </c>
      <c r="B15" s="67">
        <f>IF(AND(B$4,B$3&gt;0),Inputs!$G$27*(1+Inputs!$G$14)^(B$3-1),0)</f>
        <v>0</v>
      </c>
      <c r="C15" s="67">
        <f>IF(AND(C$4,C$3&gt;0),Inputs!$G$27*(1+Inputs!$G$14)^(C$3-1),0)</f>
        <v>20000</v>
      </c>
      <c r="D15" s="67">
        <f>IF(AND(D$4,D$3&gt;0),Inputs!$G$27*(1+Inputs!$G$14)^(D$3-1),0)</f>
        <v>20600</v>
      </c>
      <c r="E15" s="67">
        <f>IF(AND(E$4,E$3&gt;0),Inputs!$G$27*(1+Inputs!$G$14)^(E$3-1),0)</f>
        <v>21218</v>
      </c>
      <c r="F15" s="67">
        <f>IF(AND(F$4,F$3&gt;0),Inputs!$G$27*(1+Inputs!$G$14)^(F$3-1),0)</f>
        <v>21854.54</v>
      </c>
      <c r="G15" s="67">
        <f>IF(AND(G$4,G$3&gt;0),Inputs!$G$27*(1+Inputs!$G$14)^(G$3-1),0)</f>
        <v>22510.176199999998</v>
      </c>
      <c r="H15" s="67">
        <f>IF(AND(H$4,H$3&gt;0),Inputs!$G$27*(1+Inputs!$G$14)^(H$3-1),0)</f>
        <v>23185.481485999997</v>
      </c>
      <c r="I15" s="67">
        <f>IF(AND(I$4,I$3&gt;0),Inputs!$G$27*(1+Inputs!$G$14)^(I$3-1),0)</f>
        <v>23881.04593058</v>
      </c>
      <c r="J15" s="67">
        <f>IF(AND(J$4,J$3&gt;0),Inputs!$G$27*(1+Inputs!$G$14)^(J$3-1),0)</f>
        <v>24597.4773084974</v>
      </c>
      <c r="K15" s="67">
        <f>IF(AND(K$4,K$3&gt;0),Inputs!$G$27*(1+Inputs!$G$14)^(K$3-1),0)</f>
        <v>25335.401627752319</v>
      </c>
      <c r="L15" s="67">
        <f>IF(AND(L$4,L$3&gt;0),Inputs!$G$27*(1+Inputs!$G$14)^(L$3-1),0)</f>
        <v>26095.463676584888</v>
      </c>
      <c r="M15" s="67">
        <f>IF(AND(M$4,M$3&gt;0),Inputs!$G$27*(1+Inputs!$G$14)^(M$3-1),0)</f>
        <v>26878.327586882435</v>
      </c>
      <c r="N15" s="67">
        <f>IF(AND(N$4,N$3&gt;0),Inputs!$G$27*(1+Inputs!$G$14)^(N$3-1),0)</f>
        <v>27684.67741448891</v>
      </c>
      <c r="O15" s="67">
        <f>IF(AND(O$4,O$3&gt;0),Inputs!$G$27*(1+Inputs!$G$14)^(O$3-1),0)</f>
        <v>28515.217736923572</v>
      </c>
      <c r="P15" s="67">
        <f>IF(AND(P$4,P$3&gt;0),Inputs!$G$27*(1+Inputs!$G$14)^(P$3-1),0)</f>
        <v>29370.674269031279</v>
      </c>
      <c r="Q15" s="67">
        <f>IF(AND(Q$4,Q$3&gt;0),Inputs!$G$27*(1+Inputs!$G$14)^(Q$3-1),0)</f>
        <v>30251.794497102219</v>
      </c>
      <c r="R15" s="67">
        <f>IF(AND(R$4,R$3&gt;0),Inputs!$G$27*(1+Inputs!$G$14)^(R$3-1),0)</f>
        <v>31159.348332015288</v>
      </c>
      <c r="S15" s="67">
        <f>IF(AND(S$4,S$3&gt;0),Inputs!$G$27*(1+Inputs!$G$14)^(S$3-1),0)</f>
        <v>32094.128781975742</v>
      </c>
      <c r="T15" s="67">
        <f>IF(AND(T$4,T$3&gt;0),Inputs!$G$27*(1+Inputs!$G$14)^(T$3-1),0)</f>
        <v>33056.952645435013</v>
      </c>
      <c r="U15" s="67">
        <f>IF(AND(U$4,U$3&gt;0),Inputs!$G$27*(1+Inputs!$G$14)^(U$3-1),0)</f>
        <v>34048.661224798067</v>
      </c>
      <c r="V15" s="67">
        <f>IF(AND(V$4,V$3&gt;0),Inputs!$G$27*(1+Inputs!$G$14)^(V$3-1),0)</f>
        <v>35070.121061542006</v>
      </c>
      <c r="W15" s="67">
        <f>IF(AND(W$4,W$3&gt;0),Inputs!$G$27*(1+Inputs!$G$14)^(W$3-1),0)</f>
        <v>36122.224693388263</v>
      </c>
      <c r="X15" s="67">
        <f>IF(AND(X$4,X$3&gt;0),Inputs!$G$27*(1+Inputs!$G$14)^(X$3-1),0)</f>
        <v>37205.891434189907</v>
      </c>
      <c r="Y15" s="67">
        <f>IF(AND(Y$4,Y$3&gt;0),Inputs!$G$27*(1+Inputs!$G$14)^(Y$3-1),0)</f>
        <v>38322.068177215609</v>
      </c>
      <c r="Z15" s="67">
        <f>IF(AND(Z$4,Z$3&gt;0),Inputs!$G$27*(1+Inputs!$G$14)^(Z$3-1),0)</f>
        <v>39471.730222532082</v>
      </c>
      <c r="AA15" s="67">
        <f>IF(AND(AA$4,AA$3&gt;0),Inputs!$G$27*(1+Inputs!$G$14)^(AA$3-1),0)</f>
        <v>40655.882129208039</v>
      </c>
    </row>
    <row r="16" spans="1:27">
      <c r="A16" s="65" t="s">
        <v>182</v>
      </c>
      <c r="B16" s="67">
        <f>IF(AND(B$4,B$3&gt;0),Inputs!$G$39*(1+Inputs!$G$14)^(B$3-1),0)</f>
        <v>0</v>
      </c>
      <c r="C16" s="67">
        <f>IF(AND(C$4,C$3&gt;0),Inputs!$G$39*(1+Inputs!$G$14)^(C$3-1),0)</f>
        <v>0</v>
      </c>
      <c r="D16" s="67">
        <f>IF(AND(D$4,D$3&gt;0),Inputs!$G$39*(1+Inputs!$G$14)^(D$3-1),0)</f>
        <v>0</v>
      </c>
      <c r="E16" s="67">
        <f>IF(AND(E$4,E$3&gt;0),Inputs!$G$39*(1+Inputs!$G$14)^(E$3-1),0)</f>
        <v>0</v>
      </c>
      <c r="F16" s="67">
        <f>IF(AND(F$4,F$3&gt;0),Inputs!$G$39*(1+Inputs!$G$14)^(F$3-1),0)</f>
        <v>0</v>
      </c>
      <c r="G16" s="67">
        <f>IF(AND(G$4,G$3&gt;0),Inputs!$G$39*(1+Inputs!$G$14)^(G$3-1),0)</f>
        <v>0</v>
      </c>
      <c r="H16" s="67">
        <f>IF(AND(H$4,H$3&gt;0),Inputs!$G$39*(1+Inputs!$G$14)^(H$3-1),0)</f>
        <v>0</v>
      </c>
      <c r="I16" s="67">
        <f>IF(AND(I$4,I$3&gt;0),Inputs!$G$39*(1+Inputs!$G$14)^(I$3-1),0)</f>
        <v>0</v>
      </c>
      <c r="J16" s="67">
        <f>IF(AND(J$4,J$3&gt;0),Inputs!$G$39*(1+Inputs!$G$14)^(J$3-1),0)</f>
        <v>0</v>
      </c>
      <c r="K16" s="67">
        <f>IF(AND(K$4,K$3&gt;0),Inputs!$G$39*(1+Inputs!$G$14)^(K$3-1),0)</f>
        <v>0</v>
      </c>
      <c r="L16" s="67">
        <f>IF(AND(L$4,L$3&gt;0),Inputs!$G$39*(1+Inputs!$G$14)^(L$3-1),0)</f>
        <v>0</v>
      </c>
      <c r="M16" s="67">
        <f>IF(AND(M$4,M$3&gt;0),Inputs!$G$39*(1+Inputs!$G$14)^(M$3-1),0)</f>
        <v>0</v>
      </c>
      <c r="N16" s="67">
        <f>IF(AND(N$4,N$3&gt;0),Inputs!$G$39*(1+Inputs!$G$14)^(N$3-1),0)</f>
        <v>0</v>
      </c>
      <c r="O16" s="67">
        <f>IF(AND(O$4,O$3&gt;0),Inputs!$G$39*(1+Inputs!$G$14)^(O$3-1),0)</f>
        <v>0</v>
      </c>
      <c r="P16" s="67">
        <f>IF(AND(P$4,P$3&gt;0),Inputs!$G$39*(1+Inputs!$G$14)^(P$3-1),0)</f>
        <v>0</v>
      </c>
      <c r="Q16" s="67">
        <f>IF(AND(Q$4,Q$3&gt;0),Inputs!$G$39*(1+Inputs!$G$14)^(Q$3-1),0)</f>
        <v>0</v>
      </c>
      <c r="R16" s="67">
        <f>IF(AND(R$4,R$3&gt;0),Inputs!$G$39*(1+Inputs!$G$14)^(R$3-1),0)</f>
        <v>0</v>
      </c>
      <c r="S16" s="67">
        <f>IF(AND(S$4,S$3&gt;0),Inputs!$G$39*(1+Inputs!$G$14)^(S$3-1),0)</f>
        <v>0</v>
      </c>
      <c r="T16" s="67">
        <f>IF(AND(T$4,T$3&gt;0),Inputs!$G$39*(1+Inputs!$G$14)^(T$3-1),0)</f>
        <v>0</v>
      </c>
      <c r="U16" s="67">
        <f>IF(AND(U$4,U$3&gt;0),Inputs!$G$39*(1+Inputs!$G$14)^(U$3-1),0)</f>
        <v>0</v>
      </c>
      <c r="V16" s="67">
        <f>IF(AND(V$4,V$3&gt;0),Inputs!$G$39*(1+Inputs!$G$14)^(V$3-1),0)</f>
        <v>0</v>
      </c>
      <c r="W16" s="67">
        <f>IF(AND(W$4,W$3&gt;0),Inputs!$G$39*(1+Inputs!$G$14)^(W$3-1),0)</f>
        <v>0</v>
      </c>
      <c r="X16" s="67">
        <f>IF(AND(X$4,X$3&gt;0),Inputs!$G$39*(1+Inputs!$G$14)^(X$3-1),0)</f>
        <v>0</v>
      </c>
      <c r="Y16" s="67">
        <f>IF(AND(Y$4,Y$3&gt;0),Inputs!$G$39*(1+Inputs!$G$14)^(Y$3-1),0)</f>
        <v>0</v>
      </c>
      <c r="Z16" s="67">
        <f>IF(AND(Z$4,Z$3&gt;0),Inputs!$G$39*(1+Inputs!$G$14)^(Z$3-1),0)</f>
        <v>0</v>
      </c>
      <c r="AA16" s="67">
        <f>IF(AND(AA$4,AA$3&gt;0),Inputs!$G$39*(1+Inputs!$G$14)^(AA$3-1),0)</f>
        <v>0</v>
      </c>
    </row>
    <row r="17" spans="1:27">
      <c r="A17" s="65" t="s">
        <v>183</v>
      </c>
      <c r="B17" s="67">
        <f t="shared" ref="B17:AA17" si="1">SUM(B10:B16)</f>
        <v>0</v>
      </c>
      <c r="C17" s="67">
        <f t="shared" si="1"/>
        <v>310250</v>
      </c>
      <c r="D17" s="67">
        <f t="shared" si="1"/>
        <v>318140</v>
      </c>
      <c r="E17" s="67">
        <f t="shared" si="1"/>
        <v>326238.34999999998</v>
      </c>
      <c r="F17" s="67">
        <f t="shared" si="1"/>
        <v>334550.73349999997</v>
      </c>
      <c r="G17" s="67">
        <f t="shared" si="1"/>
        <v>343082.99316499999</v>
      </c>
      <c r="H17" s="67">
        <f t="shared" si="1"/>
        <v>351841.13537314994</v>
      </c>
      <c r="I17" s="67">
        <f t="shared" si="1"/>
        <v>360831.33489580854</v>
      </c>
      <c r="J17" s="67">
        <f t="shared" si="1"/>
        <v>370059.93971337605</v>
      </c>
      <c r="K17" s="67">
        <f t="shared" si="1"/>
        <v>379533.47597088444</v>
      </c>
      <c r="L17" s="67">
        <f t="shared" si="1"/>
        <v>389258.65307744022</v>
      </c>
      <c r="M17" s="67">
        <f t="shared" si="1"/>
        <v>399242.36895374133</v>
      </c>
      <c r="N17" s="67">
        <f t="shared" si="1"/>
        <v>409491.715432011</v>
      </c>
      <c r="O17" s="67">
        <f t="shared" si="1"/>
        <v>420013.9838128218</v>
      </c>
      <c r="P17" s="67">
        <f t="shared" si="1"/>
        <v>430816.67058341403</v>
      </c>
      <c r="Q17" s="67">
        <f t="shared" si="1"/>
        <v>441907.48330224829</v>
      </c>
      <c r="R17" s="67">
        <f t="shared" si="1"/>
        <v>453294.3466546741</v>
      </c>
      <c r="S17" s="67">
        <f t="shared" si="1"/>
        <v>464985.40868473996</v>
      </c>
      <c r="T17" s="67">
        <f t="shared" si="1"/>
        <v>476989.0472083161</v>
      </c>
      <c r="U17" s="67">
        <f t="shared" si="1"/>
        <v>489313.87641286035</v>
      </c>
      <c r="V17" s="67">
        <f t="shared" si="1"/>
        <v>501968.75364930677</v>
      </c>
      <c r="W17" s="67">
        <f t="shared" si="1"/>
        <v>514962.78642172785</v>
      </c>
      <c r="X17" s="67">
        <f t="shared" si="1"/>
        <v>528305.33958058024</v>
      </c>
      <c r="Y17" s="67">
        <f t="shared" si="1"/>
        <v>542006.04272552254</v>
      </c>
      <c r="Z17" s="67">
        <f t="shared" si="1"/>
        <v>556074.79782396322</v>
      </c>
      <c r="AA17" s="67">
        <f t="shared" si="1"/>
        <v>570521.78705169086</v>
      </c>
    </row>
    <row r="18" spans="1:27">
      <c r="A18" s="65"/>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row>
    <row r="19" spans="1:27">
      <c r="A19" s="65" t="s">
        <v>184</v>
      </c>
      <c r="B19" s="67">
        <f>IF(AND(B$4,B$3&gt;0),Inputs!$G$28*(1+Inputs!$G$14)^(B$3-1),0)</f>
        <v>0</v>
      </c>
      <c r="C19" s="67">
        <f>IF(AND(C$4,C$3&gt;0),Inputs!$G$28*(1+Inputs!$G$14)^(C$3-1),0)</f>
        <v>50000</v>
      </c>
      <c r="D19" s="67">
        <f>IF(AND(D$4,D$3&gt;0),Inputs!$G$28*(1+Inputs!$G$14)^(D$3-1),0)</f>
        <v>51500</v>
      </c>
      <c r="E19" s="67">
        <f>IF(AND(E$4,E$3&gt;0),Inputs!$G$28*(1+Inputs!$G$14)^(E$3-1),0)</f>
        <v>53045</v>
      </c>
      <c r="F19" s="67">
        <f>IF(AND(F$4,F$3&gt;0),Inputs!$G$28*(1+Inputs!$G$14)^(F$3-1),0)</f>
        <v>54636.35</v>
      </c>
      <c r="G19" s="67">
        <f>IF(AND(G$4,G$3&gt;0),Inputs!$G$28*(1+Inputs!$G$14)^(G$3-1),0)</f>
        <v>56275.440499999997</v>
      </c>
      <c r="H19" s="67">
        <f>IF(AND(H$4,H$3&gt;0),Inputs!$G$28*(1+Inputs!$G$14)^(H$3-1),0)</f>
        <v>57963.703714999989</v>
      </c>
      <c r="I19" s="67">
        <f>IF(AND(I$4,I$3&gt;0),Inputs!$G$28*(1+Inputs!$G$14)^(I$3-1),0)</f>
        <v>59702.614826449993</v>
      </c>
      <c r="J19" s="67">
        <f>IF(AND(J$4,J$3&gt;0),Inputs!$G$28*(1+Inputs!$G$14)^(J$3-1),0)</f>
        <v>61493.693271243501</v>
      </c>
      <c r="K19" s="67">
        <f>IF(AND(K$4,K$3&gt;0),Inputs!$G$28*(1+Inputs!$G$14)^(K$3-1),0)</f>
        <v>63338.504069380797</v>
      </c>
      <c r="L19" s="67">
        <f>IF(AND(L$4,L$3&gt;0),Inputs!$G$28*(1+Inputs!$G$14)^(L$3-1),0)</f>
        <v>65238.659191462226</v>
      </c>
      <c r="M19" s="67">
        <f>IF(AND(M$4,M$3&gt;0),Inputs!$G$28*(1+Inputs!$G$14)^(M$3-1),0)</f>
        <v>67195.818967206083</v>
      </c>
      <c r="N19" s="67">
        <f>IF(AND(N$4,N$3&gt;0),Inputs!$G$28*(1+Inputs!$G$14)^(N$3-1),0)</f>
        <v>69211.693536222272</v>
      </c>
      <c r="O19" s="67">
        <f>IF(AND(O$4,O$3&gt;0),Inputs!$G$28*(1+Inputs!$G$14)^(O$3-1),0)</f>
        <v>71288.044342308931</v>
      </c>
      <c r="P19" s="67">
        <f>IF(AND(P$4,P$3&gt;0),Inputs!$G$28*(1+Inputs!$G$14)^(P$3-1),0)</f>
        <v>73426.685672578198</v>
      </c>
      <c r="Q19" s="67">
        <f>IF(AND(Q$4,Q$3&gt;0),Inputs!$G$28*(1+Inputs!$G$14)^(Q$3-1),0)</f>
        <v>75629.486242755549</v>
      </c>
      <c r="R19" s="67">
        <f>IF(AND(R$4,R$3&gt;0),Inputs!$G$28*(1+Inputs!$G$14)^(R$3-1),0)</f>
        <v>77898.370830038228</v>
      </c>
      <c r="S19" s="67">
        <f>IF(AND(S$4,S$3&gt;0),Inputs!$G$28*(1+Inputs!$G$14)^(S$3-1),0)</f>
        <v>80235.321954939354</v>
      </c>
      <c r="T19" s="67">
        <f>IF(AND(T$4,T$3&gt;0),Inputs!$G$28*(1+Inputs!$G$14)^(T$3-1),0)</f>
        <v>82642.381613587539</v>
      </c>
      <c r="U19" s="67">
        <f>IF(AND(U$4,U$3&gt;0),Inputs!$G$28*(1+Inputs!$G$14)^(U$3-1),0)</f>
        <v>85121.653061995166</v>
      </c>
      <c r="V19" s="67">
        <f>IF(AND(V$4,V$3&gt;0),Inputs!$G$28*(1+Inputs!$G$14)^(V$3-1),0)</f>
        <v>87675.302653855018</v>
      </c>
      <c r="W19" s="67">
        <f>IF(AND(W$4,W$3&gt;0),Inputs!$G$28*(1+Inputs!$G$14)^(W$3-1),0)</f>
        <v>90305.561733470662</v>
      </c>
      <c r="X19" s="67">
        <f>IF(AND(X$4,X$3&gt;0),Inputs!$G$28*(1+Inputs!$G$14)^(X$3-1),0)</f>
        <v>93014.728585474775</v>
      </c>
      <c r="Y19" s="67">
        <f>IF(AND(Y$4,Y$3&gt;0),Inputs!$G$28*(1+Inputs!$G$14)^(Y$3-1),0)</f>
        <v>95805.170443039024</v>
      </c>
      <c r="Z19" s="67">
        <f>IF(AND(Z$4,Z$3&gt;0),Inputs!$G$28*(1+Inputs!$G$14)^(Z$3-1),0)</f>
        <v>98679.325556330194</v>
      </c>
      <c r="AA19" s="67">
        <f>IF(AND(AA$4,AA$3&gt;0),Inputs!$G$28*(1+Inputs!$G$14)^(AA$3-1),0)</f>
        <v>101639.70532302008</v>
      </c>
    </row>
    <row r="20" spans="1:27">
      <c r="A20" s="65" t="s">
        <v>185</v>
      </c>
      <c r="B20" s="67">
        <f>IF(AND(B$4,B$3&gt;0),(Inputs!$G$16*Inputs!$G$33+Inputs!$G$34)*Inputs!$G$29*(1+Inputs!$G$14)^(B$3-1),0)</f>
        <v>0</v>
      </c>
      <c r="C20" s="67">
        <f>IF(AND(C$4,C$3&gt;0),(Inputs!$G$16*Inputs!$G$33+Inputs!$G$34)*Inputs!$G$29*(1+Inputs!$G$14)^(C$3-1),0)</f>
        <v>70000</v>
      </c>
      <c r="D20" s="67">
        <f>IF(AND(D$4,D$3&gt;0),(Inputs!$G$16*Inputs!$G$33+Inputs!$G$34)*Inputs!$G$29*(1+Inputs!$G$14)^(D$3-1),0)</f>
        <v>72100</v>
      </c>
      <c r="E20" s="67">
        <f>IF(AND(E$4,E$3&gt;0),(Inputs!$G$16*Inputs!$G$33+Inputs!$G$34)*Inputs!$G$29*(1+Inputs!$G$14)^(E$3-1),0)</f>
        <v>74263</v>
      </c>
      <c r="F20" s="67">
        <f>IF(AND(F$4,F$3&gt;0),(Inputs!$G$16*Inputs!$G$33+Inputs!$G$34)*Inputs!$G$29*(1+Inputs!$G$14)^(F$3-1),0)</f>
        <v>76490.89</v>
      </c>
      <c r="G20" s="67">
        <f>IF(AND(G$4,G$3&gt;0),(Inputs!$G$16*Inputs!$G$33+Inputs!$G$34)*Inputs!$G$29*(1+Inputs!$G$14)^(G$3-1),0)</f>
        <v>78785.616699999999</v>
      </c>
      <c r="H20" s="67">
        <f>IF(AND(H$4,H$3&gt;0),(Inputs!$G$16*Inputs!$G$33+Inputs!$G$34)*Inputs!$G$29*(1+Inputs!$G$14)^(H$3-1),0)</f>
        <v>81149.185200999986</v>
      </c>
      <c r="I20" s="67">
        <f>IF(AND(I$4,I$3&gt;0),(Inputs!$G$16*Inputs!$G$33+Inputs!$G$34)*Inputs!$G$29*(1+Inputs!$G$14)^(I$3-1),0)</f>
        <v>83583.660757029997</v>
      </c>
      <c r="J20" s="67">
        <f>IF(AND(J$4,J$3&gt;0),(Inputs!$G$16*Inputs!$G$33+Inputs!$G$34)*Inputs!$G$29*(1+Inputs!$G$14)^(J$3-1),0)</f>
        <v>86091.170579740894</v>
      </c>
      <c r="K20" s="67">
        <f>IF(AND(K$4,K$3&gt;0),(Inputs!$G$16*Inputs!$G$33+Inputs!$G$34)*Inputs!$G$29*(1+Inputs!$G$14)^(K$3-1),0)</f>
        <v>88673.905697133116</v>
      </c>
      <c r="L20" s="67">
        <f>IF(AND(L$4,L$3&gt;0),(Inputs!$G$16*Inputs!$G$33+Inputs!$G$34)*Inputs!$G$29*(1+Inputs!$G$14)^(L$3-1),0)</f>
        <v>91334.12286804711</v>
      </c>
      <c r="M20" s="67">
        <f>IF(AND(M$4,M$3&gt;0),(Inputs!$G$16*Inputs!$G$33+Inputs!$G$34)*Inputs!$G$29*(1+Inputs!$G$14)^(M$3-1),0)</f>
        <v>94074.146554088526</v>
      </c>
      <c r="N20" s="67">
        <f>IF(AND(N$4,N$3&gt;0),(Inputs!$G$16*Inputs!$G$33+Inputs!$G$34)*Inputs!$G$29*(1+Inputs!$G$14)^(N$3-1),0)</f>
        <v>96896.370950711178</v>
      </c>
      <c r="O20" s="67">
        <f>IF(AND(O$4,O$3&gt;0),(Inputs!$G$16*Inputs!$G$33+Inputs!$G$34)*Inputs!$G$29*(1+Inputs!$G$14)^(O$3-1),0)</f>
        <v>99803.262079232503</v>
      </c>
      <c r="P20" s="67">
        <f>IF(AND(P$4,P$3&gt;0),(Inputs!$G$16*Inputs!$G$33+Inputs!$G$34)*Inputs!$G$29*(1+Inputs!$G$14)^(P$3-1),0)</f>
        <v>102797.35994160948</v>
      </c>
      <c r="Q20" s="67">
        <f>IF(AND(Q$4,Q$3&gt;0),(Inputs!$G$16*Inputs!$G$33+Inputs!$G$34)*Inputs!$G$29*(1+Inputs!$G$14)^(Q$3-1),0)</f>
        <v>105881.28073985777</v>
      </c>
      <c r="R20" s="67">
        <f>IF(AND(R$4,R$3&gt;0),(Inputs!$G$16*Inputs!$G$33+Inputs!$G$34)*Inputs!$G$29*(1+Inputs!$G$14)^(R$3-1),0)</f>
        <v>109057.71916205352</v>
      </c>
      <c r="S20" s="67">
        <f>IF(AND(S$4,S$3&gt;0),(Inputs!$G$16*Inputs!$G$33+Inputs!$G$34)*Inputs!$G$29*(1+Inputs!$G$14)^(S$3-1),0)</f>
        <v>112329.4507369151</v>
      </c>
      <c r="T20" s="67">
        <f>IF(AND(T$4,T$3&gt;0),(Inputs!$G$16*Inputs!$G$33+Inputs!$G$34)*Inputs!$G$29*(1+Inputs!$G$14)^(T$3-1),0)</f>
        <v>115699.33425902255</v>
      </c>
      <c r="U20" s="67">
        <f>IF(AND(U$4,U$3&gt;0),(Inputs!$G$16*Inputs!$G$33+Inputs!$G$34)*Inputs!$G$29*(1+Inputs!$G$14)^(U$3-1),0)</f>
        <v>119170.31428679323</v>
      </c>
      <c r="V20" s="67">
        <f>IF(AND(V$4,V$3&gt;0),(Inputs!$G$16*Inputs!$G$33+Inputs!$G$34)*Inputs!$G$29*(1+Inputs!$G$14)^(V$3-1),0)</f>
        <v>122745.42371539702</v>
      </c>
      <c r="W20" s="67">
        <f>IF(AND(W$4,W$3&gt;0),(Inputs!$G$16*Inputs!$G$33+Inputs!$G$34)*Inputs!$G$29*(1+Inputs!$G$14)^(W$3-1),0)</f>
        <v>126427.78642685893</v>
      </c>
      <c r="X20" s="67">
        <f>IF(AND(X$4,X$3&gt;0),(Inputs!$G$16*Inputs!$G$33+Inputs!$G$34)*Inputs!$G$29*(1+Inputs!$G$14)^(X$3-1),0)</f>
        <v>130220.62001966468</v>
      </c>
      <c r="Y20" s="67">
        <f>IF(AND(Y$4,Y$3&gt;0),(Inputs!$G$16*Inputs!$G$33+Inputs!$G$34)*Inputs!$G$29*(1+Inputs!$G$14)^(Y$3-1),0)</f>
        <v>134127.23862025462</v>
      </c>
      <c r="Z20" s="67">
        <f>IF(AND(Z$4,Z$3&gt;0),(Inputs!$G$16*Inputs!$G$33+Inputs!$G$34)*Inputs!$G$29*(1+Inputs!$G$14)^(Z$3-1),0)</f>
        <v>138151.05577886227</v>
      </c>
      <c r="AA20" s="67">
        <f>IF(AND(AA$4,AA$3&gt;0),(Inputs!$G$16*Inputs!$G$33+Inputs!$G$34)*Inputs!$G$29*(1+Inputs!$G$14)^(AA$3-1),0)</f>
        <v>142295.58745222812</v>
      </c>
    </row>
    <row r="21" spans="1:27">
      <c r="A21" s="65" t="s">
        <v>186</v>
      </c>
      <c r="B21" s="67">
        <f>IF(AND(B$4,B$3&gt;0),Inputs!$G$30*(1+Inputs!$G$14)^(B$3-1),0)</f>
        <v>0</v>
      </c>
      <c r="C21" s="67">
        <f>IF(AND(C$4,C$3&gt;0),Inputs!$G$30*(1+Inputs!$G$14)^(C$3-1),0)</f>
        <v>35000</v>
      </c>
      <c r="D21" s="67">
        <f>IF(AND(D$4,D$3&gt;0),Inputs!$G$30*(1+Inputs!$G$14)^(D$3-1),0)</f>
        <v>36050</v>
      </c>
      <c r="E21" s="67">
        <f>IF(AND(E$4,E$3&gt;0),Inputs!$G$30*(1+Inputs!$G$14)^(E$3-1),0)</f>
        <v>37131.5</v>
      </c>
      <c r="F21" s="67">
        <f>IF(AND(F$4,F$3&gt;0),Inputs!$G$30*(1+Inputs!$G$14)^(F$3-1),0)</f>
        <v>38245.445</v>
      </c>
      <c r="G21" s="67">
        <f>IF(AND(G$4,G$3&gt;0),Inputs!$G$30*(1+Inputs!$G$14)^(G$3-1),0)</f>
        <v>39392.808349999999</v>
      </c>
      <c r="H21" s="67">
        <f>IF(AND(H$4,H$3&gt;0),Inputs!$G$30*(1+Inputs!$G$14)^(H$3-1),0)</f>
        <v>40574.592600499993</v>
      </c>
      <c r="I21" s="67">
        <f>IF(AND(I$4,I$3&gt;0),Inputs!$G$30*(1+Inputs!$G$14)^(I$3-1),0)</f>
        <v>41791.830378514998</v>
      </c>
      <c r="J21" s="67">
        <f>IF(AND(J$4,J$3&gt;0),Inputs!$G$30*(1+Inputs!$G$14)^(J$3-1),0)</f>
        <v>43045.585289870447</v>
      </c>
      <c r="K21" s="67">
        <f>IF(AND(K$4,K$3&gt;0),Inputs!$G$30*(1+Inputs!$G$14)^(K$3-1),0)</f>
        <v>44336.952848566558</v>
      </c>
      <c r="L21" s="67">
        <f>IF(AND(L$4,L$3&gt;0),Inputs!$G$30*(1+Inputs!$G$14)^(L$3-1),0)</f>
        <v>45667.061434023555</v>
      </c>
      <c r="M21" s="67">
        <f>IF(AND(M$4,M$3&gt;0),Inputs!$G$30*(1+Inputs!$G$14)^(M$3-1),0)</f>
        <v>47037.073277044263</v>
      </c>
      <c r="N21" s="67">
        <f>IF(AND(N$4,N$3&gt;0),Inputs!$G$30*(1+Inputs!$G$14)^(N$3-1),0)</f>
        <v>48448.185475355589</v>
      </c>
      <c r="O21" s="67">
        <f>IF(AND(O$4,O$3&gt;0),Inputs!$G$30*(1+Inputs!$G$14)^(O$3-1),0)</f>
        <v>49901.631039616252</v>
      </c>
      <c r="P21" s="67">
        <f>IF(AND(P$4,P$3&gt;0),Inputs!$G$30*(1+Inputs!$G$14)^(P$3-1),0)</f>
        <v>51398.67997080474</v>
      </c>
      <c r="Q21" s="67">
        <f>IF(AND(Q$4,Q$3&gt;0),Inputs!$G$30*(1+Inputs!$G$14)^(Q$3-1),0)</f>
        <v>52940.640369928886</v>
      </c>
      <c r="R21" s="67">
        <f>IF(AND(R$4,R$3&gt;0),Inputs!$G$30*(1+Inputs!$G$14)^(R$3-1),0)</f>
        <v>54528.859581026758</v>
      </c>
      <c r="S21" s="67">
        <f>IF(AND(S$4,S$3&gt;0),Inputs!$G$30*(1+Inputs!$G$14)^(S$3-1),0)</f>
        <v>56164.725368457548</v>
      </c>
      <c r="T21" s="67">
        <f>IF(AND(T$4,T$3&gt;0),Inputs!$G$30*(1+Inputs!$G$14)^(T$3-1),0)</f>
        <v>57849.667129511276</v>
      </c>
      <c r="U21" s="67">
        <f>IF(AND(U$4,U$3&gt;0),Inputs!$G$30*(1+Inputs!$G$14)^(U$3-1),0)</f>
        <v>59585.157143396616</v>
      </c>
      <c r="V21" s="67">
        <f>IF(AND(V$4,V$3&gt;0),Inputs!$G$30*(1+Inputs!$G$14)^(V$3-1),0)</f>
        <v>61372.711857698509</v>
      </c>
      <c r="W21" s="67">
        <f>IF(AND(W$4,W$3&gt;0),Inputs!$G$30*(1+Inputs!$G$14)^(W$3-1),0)</f>
        <v>63213.893213429466</v>
      </c>
      <c r="X21" s="67">
        <f>IF(AND(X$4,X$3&gt;0),Inputs!$G$30*(1+Inputs!$G$14)^(X$3-1),0)</f>
        <v>65110.310009832341</v>
      </c>
      <c r="Y21" s="67">
        <f>IF(AND(Y$4,Y$3&gt;0),Inputs!$G$30*(1+Inputs!$G$14)^(Y$3-1),0)</f>
        <v>67063.619310127309</v>
      </c>
      <c r="Z21" s="67">
        <f>IF(AND(Z$4,Z$3&gt;0),Inputs!$G$30*(1+Inputs!$G$14)^(Z$3-1),0)</f>
        <v>69075.527889431134</v>
      </c>
      <c r="AA21" s="67">
        <f>IF(AND(AA$4,AA$3&gt;0),Inputs!$G$30*(1+Inputs!$G$14)^(AA$3-1),0)</f>
        <v>71147.793726114061</v>
      </c>
    </row>
    <row r="22" spans="1:27">
      <c r="A22" s="65" t="s">
        <v>187</v>
      </c>
      <c r="B22" s="67">
        <f>IF(AND(B$4,B$3&gt;0),Inputs!$G$31*(1+Inputs!$G$14)^(B$3-1),0)</f>
        <v>0</v>
      </c>
      <c r="C22" s="67">
        <f>IF(AND(C$4,C$3&gt;0),Inputs!$G$31*(1+Inputs!$G$14)^(C$3-1),0)</f>
        <v>12000</v>
      </c>
      <c r="D22" s="67">
        <f>IF(AND(D$4,D$3&gt;0),Inputs!$G$31*(1+Inputs!$G$14)^(D$3-1),0)</f>
        <v>12360</v>
      </c>
      <c r="E22" s="67">
        <f>IF(AND(E$4,E$3&gt;0),Inputs!$G$31*(1+Inputs!$G$14)^(E$3-1),0)</f>
        <v>12730.8</v>
      </c>
      <c r="F22" s="67">
        <f>IF(AND(F$4,F$3&gt;0),Inputs!$G$31*(1+Inputs!$G$14)^(F$3-1),0)</f>
        <v>13112.724</v>
      </c>
      <c r="G22" s="67">
        <f>IF(AND(G$4,G$3&gt;0),Inputs!$G$31*(1+Inputs!$G$14)^(G$3-1),0)</f>
        <v>13506.10572</v>
      </c>
      <c r="H22" s="67">
        <f>IF(AND(H$4,H$3&gt;0),Inputs!$G$31*(1+Inputs!$G$14)^(H$3-1),0)</f>
        <v>13911.288891599997</v>
      </c>
      <c r="I22" s="67">
        <f>IF(AND(I$4,I$3&gt;0),Inputs!$G$31*(1+Inputs!$G$14)^(I$3-1),0)</f>
        <v>14328.627558347998</v>
      </c>
      <c r="J22" s="67">
        <f>IF(AND(J$4,J$3&gt;0),Inputs!$G$31*(1+Inputs!$G$14)^(J$3-1),0)</f>
        <v>14758.48638509844</v>
      </c>
      <c r="K22" s="67">
        <f>IF(AND(K$4,K$3&gt;0),Inputs!$G$31*(1+Inputs!$G$14)^(K$3-1),0)</f>
        <v>15201.240976651392</v>
      </c>
      <c r="L22" s="67">
        <f>IF(AND(L$4,L$3&gt;0),Inputs!$G$31*(1+Inputs!$G$14)^(L$3-1),0)</f>
        <v>15657.278205950934</v>
      </c>
      <c r="M22" s="67">
        <f>IF(AND(M$4,M$3&gt;0),Inputs!$G$31*(1+Inputs!$G$14)^(M$3-1),0)</f>
        <v>16126.996552129462</v>
      </c>
      <c r="N22" s="67">
        <f>IF(AND(N$4,N$3&gt;0),Inputs!$G$31*(1+Inputs!$G$14)^(N$3-1),0)</f>
        <v>16610.806448693347</v>
      </c>
      <c r="O22" s="67">
        <f>IF(AND(O$4,O$3&gt;0),Inputs!$G$31*(1+Inputs!$G$14)^(O$3-1),0)</f>
        <v>17109.130642154145</v>
      </c>
      <c r="P22" s="67">
        <f>IF(AND(P$4,P$3&gt;0),Inputs!$G$31*(1+Inputs!$G$14)^(P$3-1),0)</f>
        <v>17622.404561418767</v>
      </c>
      <c r="Q22" s="67">
        <f>IF(AND(Q$4,Q$3&gt;0),Inputs!$G$31*(1+Inputs!$G$14)^(Q$3-1),0)</f>
        <v>18151.076698261331</v>
      </c>
      <c r="R22" s="67">
        <f>IF(AND(R$4,R$3&gt;0),Inputs!$G$31*(1+Inputs!$G$14)^(R$3-1),0)</f>
        <v>18695.608999209173</v>
      </c>
      <c r="S22" s="67">
        <f>IF(AND(S$4,S$3&gt;0),Inputs!$G$31*(1+Inputs!$G$14)^(S$3-1),0)</f>
        <v>19256.477269185445</v>
      </c>
      <c r="T22" s="67">
        <f>IF(AND(T$4,T$3&gt;0),Inputs!$G$31*(1+Inputs!$G$14)^(T$3-1),0)</f>
        <v>19834.171587261008</v>
      </c>
      <c r="U22" s="67">
        <f>IF(AND(U$4,U$3&gt;0),Inputs!$G$31*(1+Inputs!$G$14)^(U$3-1),0)</f>
        <v>20429.196734878838</v>
      </c>
      <c r="V22" s="67">
        <f>IF(AND(V$4,V$3&gt;0),Inputs!$G$31*(1+Inputs!$G$14)^(V$3-1),0)</f>
        <v>21042.072636925204</v>
      </c>
      <c r="W22" s="67">
        <f>IF(AND(W$4,W$3&gt;0),Inputs!$G$31*(1+Inputs!$G$14)^(W$3-1),0)</f>
        <v>21673.334816032959</v>
      </c>
      <c r="X22" s="67">
        <f>IF(AND(X$4,X$3&gt;0),Inputs!$G$31*(1+Inputs!$G$14)^(X$3-1),0)</f>
        <v>22323.534860513944</v>
      </c>
      <c r="Y22" s="67">
        <f>IF(AND(Y$4,Y$3&gt;0),Inputs!$G$31*(1+Inputs!$G$14)^(Y$3-1),0)</f>
        <v>22993.240906329367</v>
      </c>
      <c r="Z22" s="67">
        <f>IF(AND(Z$4,Z$3&gt;0),Inputs!$G$31*(1+Inputs!$G$14)^(Z$3-1),0)</f>
        <v>23683.038133519247</v>
      </c>
      <c r="AA22" s="67">
        <f>IF(AND(AA$4,AA$3&gt;0),Inputs!$G$31*(1+Inputs!$G$14)^(AA$3-1),0)</f>
        <v>24393.529277524824</v>
      </c>
    </row>
    <row r="23" spans="1:27">
      <c r="A23" s="65" t="s">
        <v>188</v>
      </c>
      <c r="B23" s="67">
        <f>IF(AND(B$4,B$3&gt;0),Inputs!$G$32*(1+Inputs!$G$14)^(B$3-1),0)</f>
        <v>0</v>
      </c>
      <c r="C23" s="67">
        <f>IF(AND(C$4,C$3&gt;0),Inputs!$G$32*(1+Inputs!$G$14)^(C$3-1),0)</f>
        <v>20000</v>
      </c>
      <c r="D23" s="67">
        <f>IF(AND(D$4,D$3&gt;0),Inputs!$G$32*(1+Inputs!$G$14)^(D$3-1),0)</f>
        <v>20600</v>
      </c>
      <c r="E23" s="67">
        <f>IF(AND(E$4,E$3&gt;0),Inputs!$G$32*(1+Inputs!$G$14)^(E$3-1),0)</f>
        <v>21218</v>
      </c>
      <c r="F23" s="67">
        <f>IF(AND(F$4,F$3&gt;0),Inputs!$G$32*(1+Inputs!$G$14)^(F$3-1),0)</f>
        <v>21854.54</v>
      </c>
      <c r="G23" s="67">
        <f>IF(AND(G$4,G$3&gt;0),Inputs!$G$32*(1+Inputs!$G$14)^(G$3-1),0)</f>
        <v>22510.176199999998</v>
      </c>
      <c r="H23" s="67">
        <f>IF(AND(H$4,H$3&gt;0),Inputs!$G$32*(1+Inputs!$G$14)^(H$3-1),0)</f>
        <v>23185.481485999997</v>
      </c>
      <c r="I23" s="67">
        <f>IF(AND(I$4,I$3&gt;0),Inputs!$G$32*(1+Inputs!$G$14)^(I$3-1),0)</f>
        <v>23881.04593058</v>
      </c>
      <c r="J23" s="67">
        <f>IF(AND(J$4,J$3&gt;0),Inputs!$G$32*(1+Inputs!$G$14)^(J$3-1),0)</f>
        <v>24597.4773084974</v>
      </c>
      <c r="K23" s="67">
        <f>IF(AND(K$4,K$3&gt;0),Inputs!$G$32*(1+Inputs!$G$14)^(K$3-1),0)</f>
        <v>25335.401627752319</v>
      </c>
      <c r="L23" s="67">
        <f>IF(AND(L$4,L$3&gt;0),Inputs!$G$32*(1+Inputs!$G$14)^(L$3-1),0)</f>
        <v>26095.463676584888</v>
      </c>
      <c r="M23" s="67">
        <f>IF(AND(M$4,M$3&gt;0),Inputs!$G$32*(1+Inputs!$G$14)^(M$3-1),0)</f>
        <v>26878.327586882435</v>
      </c>
      <c r="N23" s="67">
        <f>IF(AND(N$4,N$3&gt;0),Inputs!$G$32*(1+Inputs!$G$14)^(N$3-1),0)</f>
        <v>27684.67741448891</v>
      </c>
      <c r="O23" s="67">
        <f>IF(AND(O$4,O$3&gt;0),Inputs!$G$32*(1+Inputs!$G$14)^(O$3-1),0)</f>
        <v>28515.217736923572</v>
      </c>
      <c r="P23" s="67">
        <f>IF(AND(P$4,P$3&gt;0),Inputs!$G$32*(1+Inputs!$G$14)^(P$3-1),0)</f>
        <v>29370.674269031279</v>
      </c>
      <c r="Q23" s="67">
        <f>IF(AND(Q$4,Q$3&gt;0),Inputs!$G$32*(1+Inputs!$G$14)^(Q$3-1),0)</f>
        <v>30251.794497102219</v>
      </c>
      <c r="R23" s="67">
        <f>IF(AND(R$4,R$3&gt;0),Inputs!$G$32*(1+Inputs!$G$14)^(R$3-1),0)</f>
        <v>31159.348332015288</v>
      </c>
      <c r="S23" s="67">
        <f>IF(AND(S$4,S$3&gt;0),Inputs!$G$32*(1+Inputs!$G$14)^(S$3-1),0)</f>
        <v>32094.128781975742</v>
      </c>
      <c r="T23" s="67">
        <f>IF(AND(T$4,T$3&gt;0),Inputs!$G$32*(1+Inputs!$G$14)^(T$3-1),0)</f>
        <v>33056.952645435013</v>
      </c>
      <c r="U23" s="67">
        <f>IF(AND(U$4,U$3&gt;0),Inputs!$G$32*(1+Inputs!$G$14)^(U$3-1),0)</f>
        <v>34048.661224798067</v>
      </c>
      <c r="V23" s="67">
        <f>IF(AND(V$4,V$3&gt;0),Inputs!$G$32*(1+Inputs!$G$14)^(V$3-1),0)</f>
        <v>35070.121061542006</v>
      </c>
      <c r="W23" s="67">
        <f>IF(AND(W$4,W$3&gt;0),Inputs!$G$32*(1+Inputs!$G$14)^(W$3-1),0)</f>
        <v>36122.224693388263</v>
      </c>
      <c r="X23" s="67">
        <f>IF(AND(X$4,X$3&gt;0),Inputs!$G$32*(1+Inputs!$G$14)^(X$3-1),0)</f>
        <v>37205.891434189907</v>
      </c>
      <c r="Y23" s="67">
        <f>IF(AND(Y$4,Y$3&gt;0),Inputs!$G$32*(1+Inputs!$G$14)^(Y$3-1),0)</f>
        <v>38322.068177215609</v>
      </c>
      <c r="Z23" s="67">
        <f>IF(AND(Z$4,Z$3&gt;0),Inputs!$G$32*(1+Inputs!$G$14)^(Z$3-1),0)</f>
        <v>39471.730222532082</v>
      </c>
      <c r="AA23" s="67">
        <f>IF(AND(AA$4,AA$3&gt;0),Inputs!$G$32*(1+Inputs!$G$14)^(AA$3-1),0)</f>
        <v>40655.882129208039</v>
      </c>
    </row>
    <row r="24" spans="1:27">
      <c r="A24" s="65" t="s">
        <v>189</v>
      </c>
      <c r="B24" s="67">
        <f>IF(AND(B$4,B$3&gt;0),Inputs!$G$40*(1+Inputs!$G$14)^(B$3-1),0)</f>
        <v>0</v>
      </c>
      <c r="C24" s="67">
        <f>IF(AND(C$4,C$3&gt;0),Inputs!$G$40*(1+Inputs!$G$14)^(C$3-1),0)</f>
        <v>0</v>
      </c>
      <c r="D24" s="67">
        <f>IF(AND(D$4,D$3&gt;0),Inputs!$G$40*(1+Inputs!$G$14)^(D$3-1),0)</f>
        <v>0</v>
      </c>
      <c r="E24" s="67">
        <f>IF(AND(E$4,E$3&gt;0),Inputs!$G$40*(1+Inputs!$G$14)^(E$3-1),0)</f>
        <v>0</v>
      </c>
      <c r="F24" s="67">
        <f>IF(AND(F$4,F$3&gt;0),Inputs!$G$40*(1+Inputs!$G$14)^(F$3-1),0)</f>
        <v>0</v>
      </c>
      <c r="G24" s="67">
        <f>IF(AND(G$4,G$3&gt;0),Inputs!$G$40*(1+Inputs!$G$14)^(G$3-1),0)</f>
        <v>0</v>
      </c>
      <c r="H24" s="67">
        <f>IF(AND(H$4,H$3&gt;0),Inputs!$G$40*(1+Inputs!$G$14)^(H$3-1),0)</f>
        <v>0</v>
      </c>
      <c r="I24" s="67">
        <f>IF(AND(I$4,I$3&gt;0),Inputs!$G$40*(1+Inputs!$G$14)^(I$3-1),0)</f>
        <v>0</v>
      </c>
      <c r="J24" s="67">
        <f>IF(AND(J$4,J$3&gt;0),Inputs!$G$40*(1+Inputs!$G$14)^(J$3-1),0)</f>
        <v>0</v>
      </c>
      <c r="K24" s="67">
        <f>IF(AND(K$4,K$3&gt;0),Inputs!$G$40*(1+Inputs!$G$14)^(K$3-1),0)</f>
        <v>0</v>
      </c>
      <c r="L24" s="67">
        <f>IF(AND(L$4,L$3&gt;0),Inputs!$G$40*(1+Inputs!$G$14)^(L$3-1),0)</f>
        <v>0</v>
      </c>
      <c r="M24" s="67">
        <f>IF(AND(M$4,M$3&gt;0),Inputs!$G$40*(1+Inputs!$G$14)^(M$3-1),0)</f>
        <v>0</v>
      </c>
      <c r="N24" s="67">
        <f>IF(AND(N$4,N$3&gt;0),Inputs!$G$40*(1+Inputs!$G$14)^(N$3-1),0)</f>
        <v>0</v>
      </c>
      <c r="O24" s="67">
        <f>IF(AND(O$4,O$3&gt;0),Inputs!$G$40*(1+Inputs!$G$14)^(O$3-1),0)</f>
        <v>0</v>
      </c>
      <c r="P24" s="67">
        <f>IF(AND(P$4,P$3&gt;0),Inputs!$G$40*(1+Inputs!$G$14)^(P$3-1),0)</f>
        <v>0</v>
      </c>
      <c r="Q24" s="67">
        <f>IF(AND(Q$4,Q$3&gt;0),Inputs!$G$40*(1+Inputs!$G$14)^(Q$3-1),0)</f>
        <v>0</v>
      </c>
      <c r="R24" s="67">
        <f>IF(AND(R$4,R$3&gt;0),Inputs!$G$40*(1+Inputs!$G$14)^(R$3-1),0)</f>
        <v>0</v>
      </c>
      <c r="S24" s="67">
        <f>IF(AND(S$4,S$3&gt;0),Inputs!$G$40*(1+Inputs!$G$14)^(S$3-1),0)</f>
        <v>0</v>
      </c>
      <c r="T24" s="67">
        <f>IF(AND(T$4,T$3&gt;0),Inputs!$G$40*(1+Inputs!$G$14)^(T$3-1),0)</f>
        <v>0</v>
      </c>
      <c r="U24" s="67">
        <f>IF(AND(U$4,U$3&gt;0),Inputs!$G$40*(1+Inputs!$G$14)^(U$3-1),0)</f>
        <v>0</v>
      </c>
      <c r="V24" s="67">
        <f>IF(AND(V$4,V$3&gt;0),Inputs!$G$40*(1+Inputs!$G$14)^(V$3-1),0)</f>
        <v>0</v>
      </c>
      <c r="W24" s="67">
        <f>IF(AND(W$4,W$3&gt;0),Inputs!$G$40*(1+Inputs!$G$14)^(W$3-1),0)</f>
        <v>0</v>
      </c>
      <c r="X24" s="67">
        <f>IF(AND(X$4,X$3&gt;0),Inputs!$G$40*(1+Inputs!$G$14)^(X$3-1),0)</f>
        <v>0</v>
      </c>
      <c r="Y24" s="67">
        <f>IF(AND(Y$4,Y$3&gt;0),Inputs!$G$40*(1+Inputs!$G$14)^(Y$3-1),0)</f>
        <v>0</v>
      </c>
      <c r="Z24" s="67">
        <f>IF(AND(Z$4,Z$3&gt;0),Inputs!$G$40*(1+Inputs!$G$14)^(Z$3-1),0)</f>
        <v>0</v>
      </c>
      <c r="AA24" s="67">
        <f>IF(AND(AA$4,AA$3&gt;0),Inputs!$G$40*(1+Inputs!$G$14)^(AA$3-1),0)</f>
        <v>0</v>
      </c>
    </row>
    <row r="25" spans="1:27">
      <c r="A25" s="65" t="s">
        <v>190</v>
      </c>
      <c r="B25" s="67">
        <f>IF(AND(B$4,B$3=Inputs!$G$37,Inputs!$G$37&gt;0),Inputs!$G$38*(1+Inputs!$G$14)^MAX(B$3-1,0),0)</f>
        <v>0</v>
      </c>
      <c r="C25" s="67">
        <f>IF(AND(C$4,C$3=Inputs!$G$37,Inputs!$G$37&gt;0),Inputs!$G$38*(1+Inputs!$G$14)^MAX(C$3-1,0),0)</f>
        <v>0</v>
      </c>
      <c r="D25" s="67">
        <f>IF(AND(D$4,D$3=Inputs!$G$37,Inputs!$G$37&gt;0),Inputs!$G$38*(1+Inputs!$G$14)^MAX(D$3-1,0),0)</f>
        <v>0</v>
      </c>
      <c r="E25" s="67">
        <f>IF(AND(E$4,E$3=Inputs!$G$37,Inputs!$G$37&gt;0),Inputs!$G$38*(1+Inputs!$G$14)^MAX(E$3-1,0),0)</f>
        <v>0</v>
      </c>
      <c r="F25" s="67">
        <f>IF(AND(F$4,F$3=Inputs!$G$37,Inputs!$G$37&gt;0),Inputs!$G$38*(1+Inputs!$G$14)^MAX(F$3-1,0),0)</f>
        <v>0</v>
      </c>
      <c r="G25" s="67">
        <f>IF(AND(G$4,G$3=Inputs!$G$37,Inputs!$G$37&gt;0),Inputs!$G$38*(1+Inputs!$G$14)^MAX(G$3-1,0),0)</f>
        <v>0</v>
      </c>
      <c r="H25" s="67">
        <f>IF(AND(H$4,H$3=Inputs!$G$37,Inputs!$G$37&gt;0),Inputs!$G$38*(1+Inputs!$G$14)^MAX(H$3-1,0),0)</f>
        <v>0</v>
      </c>
      <c r="I25" s="67">
        <f>IF(AND(I$4,I$3=Inputs!$G$37,Inputs!$G$37&gt;0),Inputs!$G$38*(1+Inputs!$G$14)^MAX(I$3-1,0),0)</f>
        <v>0</v>
      </c>
      <c r="J25" s="67">
        <f>IF(AND(J$4,J$3=Inputs!$G$37,Inputs!$G$37&gt;0),Inputs!$G$38*(1+Inputs!$G$14)^MAX(J$3-1,0),0)</f>
        <v>0</v>
      </c>
      <c r="K25" s="67">
        <f>IF(AND(K$4,K$3=Inputs!$G$37,Inputs!$G$37&gt;0),Inputs!$G$38*(1+Inputs!$G$14)^MAX(K$3-1,0),0)</f>
        <v>0</v>
      </c>
      <c r="L25" s="67">
        <f>IF(AND(L$4,L$3=Inputs!$G$37,Inputs!$G$37&gt;0),Inputs!$G$38*(1+Inputs!$G$14)^MAX(L$3-1,0),0)</f>
        <v>163096.64797865556</v>
      </c>
      <c r="M25" s="67">
        <f>IF(AND(M$4,M$3=Inputs!$G$37,Inputs!$G$37&gt;0),Inputs!$G$38*(1+Inputs!$G$14)^MAX(M$3-1,0),0)</f>
        <v>0</v>
      </c>
      <c r="N25" s="67">
        <f>IF(AND(N$4,N$3=Inputs!$G$37,Inputs!$G$37&gt;0),Inputs!$G$38*(1+Inputs!$G$14)^MAX(N$3-1,0),0)</f>
        <v>0</v>
      </c>
      <c r="O25" s="67">
        <f>IF(AND(O$4,O$3=Inputs!$G$37,Inputs!$G$37&gt;0),Inputs!$G$38*(1+Inputs!$G$14)^MAX(O$3-1,0),0)</f>
        <v>0</v>
      </c>
      <c r="P25" s="67">
        <f>IF(AND(P$4,P$3=Inputs!$G$37,Inputs!$G$37&gt;0),Inputs!$G$38*(1+Inputs!$G$14)^MAX(P$3-1,0),0)</f>
        <v>0</v>
      </c>
      <c r="Q25" s="67">
        <f>IF(AND(Q$4,Q$3=Inputs!$G$37,Inputs!$G$37&gt;0),Inputs!$G$38*(1+Inputs!$G$14)^MAX(Q$3-1,0),0)</f>
        <v>0</v>
      </c>
      <c r="R25" s="67">
        <f>IF(AND(R$4,R$3=Inputs!$G$37,Inputs!$G$37&gt;0),Inputs!$G$38*(1+Inputs!$G$14)^MAX(R$3-1,0),0)</f>
        <v>0</v>
      </c>
      <c r="S25" s="67">
        <f>IF(AND(S$4,S$3=Inputs!$G$37,Inputs!$G$37&gt;0),Inputs!$G$38*(1+Inputs!$G$14)^MAX(S$3-1,0),0)</f>
        <v>0</v>
      </c>
      <c r="T25" s="67">
        <f>IF(AND(T$4,T$3=Inputs!$G$37,Inputs!$G$37&gt;0),Inputs!$G$38*(1+Inputs!$G$14)^MAX(T$3-1,0),0)</f>
        <v>0</v>
      </c>
      <c r="U25" s="67">
        <f>IF(AND(U$4,U$3=Inputs!$G$37,Inputs!$G$37&gt;0),Inputs!$G$38*(1+Inputs!$G$14)^MAX(U$3-1,0),0)</f>
        <v>0</v>
      </c>
      <c r="V25" s="67">
        <f>IF(AND(V$4,V$3=Inputs!$G$37,Inputs!$G$37&gt;0),Inputs!$G$38*(1+Inputs!$G$14)^MAX(V$3-1,0),0)</f>
        <v>0</v>
      </c>
      <c r="W25" s="67">
        <f>IF(AND(W$4,W$3=Inputs!$G$37,Inputs!$G$37&gt;0),Inputs!$G$38*(1+Inputs!$G$14)^MAX(W$3-1,0),0)</f>
        <v>0</v>
      </c>
      <c r="X25" s="67">
        <f>IF(AND(X$4,X$3=Inputs!$G$37,Inputs!$G$37&gt;0),Inputs!$G$38*(1+Inputs!$G$14)^MAX(X$3-1,0),0)</f>
        <v>0</v>
      </c>
      <c r="Y25" s="67">
        <f>IF(AND(Y$4,Y$3=Inputs!$G$37,Inputs!$G$37&gt;0),Inputs!$G$38*(1+Inputs!$G$14)^MAX(Y$3-1,0),0)</f>
        <v>0</v>
      </c>
      <c r="Z25" s="67">
        <f>IF(AND(Z$4,Z$3=Inputs!$G$37,Inputs!$G$37&gt;0),Inputs!$G$38*(1+Inputs!$G$14)^MAX(Z$3-1,0),0)</f>
        <v>0</v>
      </c>
      <c r="AA25" s="67">
        <f>IF(AND(AA$4,AA$3=Inputs!$G$37,Inputs!$G$37&gt;0),Inputs!$G$38*(1+Inputs!$G$14)^MAX(AA$3-1,0),0)</f>
        <v>0</v>
      </c>
    </row>
    <row r="26" spans="1:27">
      <c r="A26" s="65" t="s">
        <v>191</v>
      </c>
      <c r="B26" s="67">
        <f t="shared" ref="B26:AA26" si="2">SUM(B19:B25)</f>
        <v>0</v>
      </c>
      <c r="C26" s="67">
        <f t="shared" si="2"/>
        <v>187000</v>
      </c>
      <c r="D26" s="67">
        <f t="shared" si="2"/>
        <v>192610</v>
      </c>
      <c r="E26" s="67">
        <f t="shared" si="2"/>
        <v>198388.3</v>
      </c>
      <c r="F26" s="67">
        <f t="shared" si="2"/>
        <v>204339.94899999999</v>
      </c>
      <c r="G26" s="67">
        <f t="shared" si="2"/>
        <v>210470.14746999997</v>
      </c>
      <c r="H26" s="67">
        <f t="shared" si="2"/>
        <v>216784.25189409996</v>
      </c>
      <c r="I26" s="67">
        <f t="shared" si="2"/>
        <v>223287.779450923</v>
      </c>
      <c r="J26" s="67">
        <f t="shared" si="2"/>
        <v>229986.41283445072</v>
      </c>
      <c r="K26" s="67">
        <f t="shared" si="2"/>
        <v>236886.00521948418</v>
      </c>
      <c r="L26" s="67">
        <f t="shared" si="2"/>
        <v>407089.23335472425</v>
      </c>
      <c r="M26" s="67">
        <f t="shared" si="2"/>
        <v>251312.36293735076</v>
      </c>
      <c r="N26" s="67">
        <f t="shared" si="2"/>
        <v>258851.73382547134</v>
      </c>
      <c r="O26" s="67">
        <f t="shared" si="2"/>
        <v>266617.28584023542</v>
      </c>
      <c r="P26" s="67">
        <f t="shared" si="2"/>
        <v>274615.80441544246</v>
      </c>
      <c r="Q26" s="67">
        <f t="shared" si="2"/>
        <v>282854.27854790573</v>
      </c>
      <c r="R26" s="67">
        <f t="shared" si="2"/>
        <v>291339.90690434299</v>
      </c>
      <c r="S26" s="67">
        <f t="shared" si="2"/>
        <v>300080.10411147319</v>
      </c>
      <c r="T26" s="67">
        <f t="shared" si="2"/>
        <v>309082.50723481737</v>
      </c>
      <c r="U26" s="67">
        <f t="shared" si="2"/>
        <v>318354.9824518619</v>
      </c>
      <c r="V26" s="67">
        <f t="shared" si="2"/>
        <v>327905.63192541775</v>
      </c>
      <c r="W26" s="67">
        <f t="shared" si="2"/>
        <v>337742.80088318029</v>
      </c>
      <c r="X26" s="67">
        <f t="shared" si="2"/>
        <v>347875.08490967564</v>
      </c>
      <c r="Y26" s="67">
        <f t="shared" si="2"/>
        <v>358311.33745696594</v>
      </c>
      <c r="Z26" s="67">
        <f t="shared" si="2"/>
        <v>369060.67758067488</v>
      </c>
      <c r="AA26" s="67">
        <f t="shared" si="2"/>
        <v>380132.49790809513</v>
      </c>
    </row>
    <row r="27" spans="1:27">
      <c r="A27" s="65"/>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row>
    <row r="28" spans="1:27">
      <c r="A28" s="65" t="s">
        <v>192</v>
      </c>
      <c r="B28" s="67">
        <f t="shared" ref="B28:AA28" si="3">B17-B26</f>
        <v>0</v>
      </c>
      <c r="C28" s="67">
        <f t="shared" si="3"/>
        <v>123250</v>
      </c>
      <c r="D28" s="67">
        <f t="shared" si="3"/>
        <v>125530</v>
      </c>
      <c r="E28" s="67">
        <f t="shared" si="3"/>
        <v>127850.04999999999</v>
      </c>
      <c r="F28" s="67">
        <f t="shared" si="3"/>
        <v>130210.78449999998</v>
      </c>
      <c r="G28" s="67">
        <f t="shared" si="3"/>
        <v>132612.84569500003</v>
      </c>
      <c r="H28" s="67">
        <f t="shared" si="3"/>
        <v>135056.88347904998</v>
      </c>
      <c r="I28" s="67">
        <f t="shared" si="3"/>
        <v>137543.55544488554</v>
      </c>
      <c r="J28" s="67">
        <f t="shared" si="3"/>
        <v>140073.52687892533</v>
      </c>
      <c r="K28" s="67">
        <f t="shared" si="3"/>
        <v>142647.47075140025</v>
      </c>
      <c r="L28" s="67">
        <f t="shared" si="3"/>
        <v>-17830.580277284025</v>
      </c>
      <c r="M28" s="67">
        <f t="shared" si="3"/>
        <v>147930.00601639057</v>
      </c>
      <c r="N28" s="67">
        <f t="shared" si="3"/>
        <v>150639.98160653966</v>
      </c>
      <c r="O28" s="67">
        <f t="shared" si="3"/>
        <v>153396.69797258638</v>
      </c>
      <c r="P28" s="67">
        <f t="shared" si="3"/>
        <v>156200.86616797157</v>
      </c>
      <c r="Q28" s="67">
        <f t="shared" si="3"/>
        <v>159053.20475434256</v>
      </c>
      <c r="R28" s="67">
        <f t="shared" si="3"/>
        <v>161954.4397503311</v>
      </c>
      <c r="S28" s="67">
        <f t="shared" si="3"/>
        <v>164905.30457326677</v>
      </c>
      <c r="T28" s="67">
        <f t="shared" si="3"/>
        <v>167906.53997349873</v>
      </c>
      <c r="U28" s="67">
        <f t="shared" si="3"/>
        <v>170958.89396099845</v>
      </c>
      <c r="V28" s="67">
        <f t="shared" si="3"/>
        <v>174063.12172388902</v>
      </c>
      <c r="W28" s="67">
        <f t="shared" si="3"/>
        <v>177219.98553854757</v>
      </c>
      <c r="X28" s="67">
        <f t="shared" si="3"/>
        <v>180430.2546709046</v>
      </c>
      <c r="Y28" s="67">
        <f t="shared" si="3"/>
        <v>183694.7052685566</v>
      </c>
      <c r="Z28" s="67">
        <f t="shared" si="3"/>
        <v>187014.12024328834</v>
      </c>
      <c r="AA28" s="67">
        <f t="shared" si="3"/>
        <v>190389.28914359573</v>
      </c>
    </row>
    <row r="29" spans="1:27">
      <c r="A29" s="65" t="s">
        <v>193</v>
      </c>
      <c r="B29" s="67">
        <f>IF(B$3=0,-((Inputs!$G$16*Inputs!$G$33+Inputs!$G$34+Inputs!$G$36)-Inputs!$G$35*(Inputs!$G$16*Inputs!$G$33+Inputs!$G$34)),0)</f>
        <v>-1170000</v>
      </c>
      <c r="C29" s="67">
        <f>IF(C$3=0,-((Inputs!$G$16*Inputs!$G$33+Inputs!$G$34+Inputs!$G$36)-Inputs!$G$35*(Inputs!$G$16*Inputs!$G$33+Inputs!$G$34)),0)</f>
        <v>0</v>
      </c>
      <c r="D29" s="67">
        <f>IF(D$3=0,-((Inputs!$G$16*Inputs!$G$33+Inputs!$G$34+Inputs!$G$36)-Inputs!$G$35*(Inputs!$G$16*Inputs!$G$33+Inputs!$G$34)),0)</f>
        <v>0</v>
      </c>
      <c r="E29" s="67">
        <f>IF(E$3=0,-((Inputs!$G$16*Inputs!$G$33+Inputs!$G$34+Inputs!$G$36)-Inputs!$G$35*(Inputs!$G$16*Inputs!$G$33+Inputs!$G$34)),0)</f>
        <v>0</v>
      </c>
      <c r="F29" s="67">
        <f>IF(F$3=0,-((Inputs!$G$16*Inputs!$G$33+Inputs!$G$34+Inputs!$G$36)-Inputs!$G$35*(Inputs!$G$16*Inputs!$G$33+Inputs!$G$34)),0)</f>
        <v>0</v>
      </c>
      <c r="G29" s="67">
        <f>IF(G$3=0,-((Inputs!$G$16*Inputs!$G$33+Inputs!$G$34+Inputs!$G$36)-Inputs!$G$35*(Inputs!$G$16*Inputs!$G$33+Inputs!$G$34)),0)</f>
        <v>0</v>
      </c>
      <c r="H29" s="67">
        <f>IF(H$3=0,-((Inputs!$G$16*Inputs!$G$33+Inputs!$G$34+Inputs!$G$36)-Inputs!$G$35*(Inputs!$G$16*Inputs!$G$33+Inputs!$G$34)),0)</f>
        <v>0</v>
      </c>
      <c r="I29" s="67">
        <f>IF(I$3=0,-((Inputs!$G$16*Inputs!$G$33+Inputs!$G$34+Inputs!$G$36)-Inputs!$G$35*(Inputs!$G$16*Inputs!$G$33+Inputs!$G$34)),0)</f>
        <v>0</v>
      </c>
      <c r="J29" s="67">
        <f>IF(J$3=0,-((Inputs!$G$16*Inputs!$G$33+Inputs!$G$34+Inputs!$G$36)-Inputs!$G$35*(Inputs!$G$16*Inputs!$G$33+Inputs!$G$34)),0)</f>
        <v>0</v>
      </c>
      <c r="K29" s="67">
        <f>IF(K$3=0,-((Inputs!$G$16*Inputs!$G$33+Inputs!$G$34+Inputs!$G$36)-Inputs!$G$35*(Inputs!$G$16*Inputs!$G$33+Inputs!$G$34)),0)</f>
        <v>0</v>
      </c>
      <c r="L29" s="67">
        <f>IF(L$3=0,-((Inputs!$G$16*Inputs!$G$33+Inputs!$G$34+Inputs!$G$36)-Inputs!$G$35*(Inputs!$G$16*Inputs!$G$33+Inputs!$G$34)),0)</f>
        <v>0</v>
      </c>
      <c r="M29" s="67">
        <f>IF(M$3=0,-((Inputs!$G$16*Inputs!$G$33+Inputs!$G$34+Inputs!$G$36)-Inputs!$G$35*(Inputs!$G$16*Inputs!$G$33+Inputs!$G$34)),0)</f>
        <v>0</v>
      </c>
      <c r="N29" s="67">
        <f>IF(N$3=0,-((Inputs!$G$16*Inputs!$G$33+Inputs!$G$34+Inputs!$G$36)-Inputs!$G$35*(Inputs!$G$16*Inputs!$G$33+Inputs!$G$34)),0)</f>
        <v>0</v>
      </c>
      <c r="O29" s="67">
        <f>IF(O$3=0,-((Inputs!$G$16*Inputs!$G$33+Inputs!$G$34+Inputs!$G$36)-Inputs!$G$35*(Inputs!$G$16*Inputs!$G$33+Inputs!$G$34)),0)</f>
        <v>0</v>
      </c>
      <c r="P29" s="67">
        <f>IF(P$3=0,-((Inputs!$G$16*Inputs!$G$33+Inputs!$G$34+Inputs!$G$36)-Inputs!$G$35*(Inputs!$G$16*Inputs!$G$33+Inputs!$G$34)),0)</f>
        <v>0</v>
      </c>
      <c r="Q29" s="67">
        <f>IF(Q$3=0,-((Inputs!$G$16*Inputs!$G$33+Inputs!$G$34+Inputs!$G$36)-Inputs!$G$35*(Inputs!$G$16*Inputs!$G$33+Inputs!$G$34)),0)</f>
        <v>0</v>
      </c>
      <c r="R29" s="67">
        <f>IF(R$3=0,-((Inputs!$G$16*Inputs!$G$33+Inputs!$G$34+Inputs!$G$36)-Inputs!$G$35*(Inputs!$G$16*Inputs!$G$33+Inputs!$G$34)),0)</f>
        <v>0</v>
      </c>
      <c r="S29" s="67">
        <f>IF(S$3=0,-((Inputs!$G$16*Inputs!$G$33+Inputs!$G$34+Inputs!$G$36)-Inputs!$G$35*(Inputs!$G$16*Inputs!$G$33+Inputs!$G$34)),0)</f>
        <v>0</v>
      </c>
      <c r="T29" s="67">
        <f>IF(T$3=0,-((Inputs!$G$16*Inputs!$G$33+Inputs!$G$34+Inputs!$G$36)-Inputs!$G$35*(Inputs!$G$16*Inputs!$G$33+Inputs!$G$34)),0)</f>
        <v>0</v>
      </c>
      <c r="U29" s="67">
        <f>IF(U$3=0,-((Inputs!$G$16*Inputs!$G$33+Inputs!$G$34+Inputs!$G$36)-Inputs!$G$35*(Inputs!$G$16*Inputs!$G$33+Inputs!$G$34)),0)</f>
        <v>0</v>
      </c>
      <c r="V29" s="67">
        <f>IF(V$3=0,-((Inputs!$G$16*Inputs!$G$33+Inputs!$G$34+Inputs!$G$36)-Inputs!$G$35*(Inputs!$G$16*Inputs!$G$33+Inputs!$G$34)),0)</f>
        <v>0</v>
      </c>
      <c r="W29" s="67">
        <f>IF(W$3=0,-((Inputs!$G$16*Inputs!$G$33+Inputs!$G$34+Inputs!$G$36)-Inputs!$G$35*(Inputs!$G$16*Inputs!$G$33+Inputs!$G$34)),0)</f>
        <v>0</v>
      </c>
      <c r="X29" s="67">
        <f>IF(X$3=0,-((Inputs!$G$16*Inputs!$G$33+Inputs!$G$34+Inputs!$G$36)-Inputs!$G$35*(Inputs!$G$16*Inputs!$G$33+Inputs!$G$34)),0)</f>
        <v>0</v>
      </c>
      <c r="Y29" s="67">
        <f>IF(Y$3=0,-((Inputs!$G$16*Inputs!$G$33+Inputs!$G$34+Inputs!$G$36)-Inputs!$G$35*(Inputs!$G$16*Inputs!$G$33+Inputs!$G$34)),0)</f>
        <v>0</v>
      </c>
      <c r="Z29" s="67">
        <f>IF(Z$3=0,-((Inputs!$G$16*Inputs!$G$33+Inputs!$G$34+Inputs!$G$36)-Inputs!$G$35*(Inputs!$G$16*Inputs!$G$33+Inputs!$G$34)),0)</f>
        <v>0</v>
      </c>
      <c r="AA29" s="67">
        <f>IF(AA$3=0,-((Inputs!$G$16*Inputs!$G$33+Inputs!$G$34+Inputs!$G$36)-Inputs!$G$35*(Inputs!$G$16*Inputs!$G$33+Inputs!$G$34)),0)</f>
        <v>0</v>
      </c>
    </row>
    <row r="30" spans="1:27">
      <c r="A30" s="65" t="s">
        <v>194</v>
      </c>
      <c r="B30" s="67">
        <f t="shared" ref="B30:AA30" si="4">B28+B29</f>
        <v>-1170000</v>
      </c>
      <c r="C30" s="67">
        <f t="shared" si="4"/>
        <v>123250</v>
      </c>
      <c r="D30" s="67">
        <f t="shared" si="4"/>
        <v>125530</v>
      </c>
      <c r="E30" s="67">
        <f t="shared" si="4"/>
        <v>127850.04999999999</v>
      </c>
      <c r="F30" s="67">
        <f t="shared" si="4"/>
        <v>130210.78449999998</v>
      </c>
      <c r="G30" s="67">
        <f t="shared" si="4"/>
        <v>132612.84569500003</v>
      </c>
      <c r="H30" s="67">
        <f t="shared" si="4"/>
        <v>135056.88347904998</v>
      </c>
      <c r="I30" s="67">
        <f t="shared" si="4"/>
        <v>137543.55544488554</v>
      </c>
      <c r="J30" s="67">
        <f t="shared" si="4"/>
        <v>140073.52687892533</v>
      </c>
      <c r="K30" s="67">
        <f t="shared" si="4"/>
        <v>142647.47075140025</v>
      </c>
      <c r="L30" s="67">
        <f t="shared" si="4"/>
        <v>-17830.580277284025</v>
      </c>
      <c r="M30" s="67">
        <f t="shared" si="4"/>
        <v>147930.00601639057</v>
      </c>
      <c r="N30" s="67">
        <f t="shared" si="4"/>
        <v>150639.98160653966</v>
      </c>
      <c r="O30" s="67">
        <f t="shared" si="4"/>
        <v>153396.69797258638</v>
      </c>
      <c r="P30" s="67">
        <f t="shared" si="4"/>
        <v>156200.86616797157</v>
      </c>
      <c r="Q30" s="67">
        <f t="shared" si="4"/>
        <v>159053.20475434256</v>
      </c>
      <c r="R30" s="67">
        <f t="shared" si="4"/>
        <v>161954.4397503311</v>
      </c>
      <c r="S30" s="67">
        <f t="shared" si="4"/>
        <v>164905.30457326677</v>
      </c>
      <c r="T30" s="67">
        <f t="shared" si="4"/>
        <v>167906.53997349873</v>
      </c>
      <c r="U30" s="67">
        <f t="shared" si="4"/>
        <v>170958.89396099845</v>
      </c>
      <c r="V30" s="67">
        <f t="shared" si="4"/>
        <v>174063.12172388902</v>
      </c>
      <c r="W30" s="67">
        <f t="shared" si="4"/>
        <v>177219.98553854757</v>
      </c>
      <c r="X30" s="67">
        <f t="shared" si="4"/>
        <v>180430.2546709046</v>
      </c>
      <c r="Y30" s="67">
        <f t="shared" si="4"/>
        <v>183694.7052685566</v>
      </c>
      <c r="Z30" s="67">
        <f t="shared" si="4"/>
        <v>187014.12024328834</v>
      </c>
      <c r="AA30" s="67">
        <f t="shared" si="4"/>
        <v>190389.28914359573</v>
      </c>
    </row>
    <row r="31" spans="1:27">
      <c r="A31" s="65" t="s">
        <v>195</v>
      </c>
      <c r="B31" s="68">
        <f>IF(B$4,1/(1+Inputs!$G$10)^B$3,0)</f>
        <v>1</v>
      </c>
      <c r="C31" s="68">
        <f>IF(C$4,1/(1+Inputs!$G$10)^C$3,0)</f>
        <v>0.96153846153846145</v>
      </c>
      <c r="D31" s="68">
        <f>IF(D$4,1/(1+Inputs!$G$10)^D$3,0)</f>
        <v>0.92455621301775137</v>
      </c>
      <c r="E31" s="68">
        <f>IF(E$4,1/(1+Inputs!$G$10)^E$3,0)</f>
        <v>0.88899635867091487</v>
      </c>
      <c r="F31" s="68">
        <f>IF(F$4,1/(1+Inputs!$G$10)^F$3,0)</f>
        <v>0.85480419102972571</v>
      </c>
      <c r="G31" s="68">
        <f>IF(G$4,1/(1+Inputs!$G$10)^G$3,0)</f>
        <v>0.82192710675935154</v>
      </c>
      <c r="H31" s="68">
        <f>IF(H$4,1/(1+Inputs!$G$10)^H$3,0)</f>
        <v>0.79031452573014571</v>
      </c>
      <c r="I31" s="68">
        <f>IF(I$4,1/(1+Inputs!$G$10)^I$3,0)</f>
        <v>0.75991781320206331</v>
      </c>
      <c r="J31" s="68">
        <f>IF(J$4,1/(1+Inputs!$G$10)^J$3,0)</f>
        <v>0.73069020500198378</v>
      </c>
      <c r="K31" s="68">
        <f>IF(K$4,1/(1+Inputs!$G$10)^K$3,0)</f>
        <v>0.70258673557883045</v>
      </c>
      <c r="L31" s="68">
        <f>IF(L$4,1/(1+Inputs!$G$10)^L$3,0)</f>
        <v>0.67556416882579851</v>
      </c>
      <c r="M31" s="68">
        <f>IF(M$4,1/(1+Inputs!$G$10)^M$3,0)</f>
        <v>0.6495809315632679</v>
      </c>
      <c r="N31" s="68">
        <f>IF(N$4,1/(1+Inputs!$G$10)^N$3,0)</f>
        <v>0.62459704958006512</v>
      </c>
      <c r="O31" s="68">
        <f>IF(O$4,1/(1+Inputs!$G$10)^O$3,0)</f>
        <v>0.600574086134678</v>
      </c>
      <c r="P31" s="68">
        <f>IF(P$4,1/(1+Inputs!$G$10)^P$3,0)</f>
        <v>0.57747508282180582</v>
      </c>
      <c r="Q31" s="68">
        <f>IF(Q$4,1/(1+Inputs!$G$10)^Q$3,0)</f>
        <v>0.55526450271327477</v>
      </c>
      <c r="R31" s="68">
        <f>IF(R$4,1/(1+Inputs!$G$10)^R$3,0)</f>
        <v>0.53390817568584104</v>
      </c>
      <c r="S31" s="68">
        <f>IF(S$4,1/(1+Inputs!$G$10)^S$3,0)</f>
        <v>0.51337324585177024</v>
      </c>
      <c r="T31" s="68">
        <f>IF(T$4,1/(1+Inputs!$G$10)^T$3,0)</f>
        <v>0.49362812101131748</v>
      </c>
      <c r="U31" s="68">
        <f>IF(U$4,1/(1+Inputs!$G$10)^U$3,0)</f>
        <v>0.47464242404934376</v>
      </c>
      <c r="V31" s="68">
        <f>IF(V$4,1/(1+Inputs!$G$10)^V$3,0)</f>
        <v>0.45638694620129205</v>
      </c>
      <c r="W31" s="68">
        <f>IF(W$4,1/(1+Inputs!$G$10)^W$3,0)</f>
        <v>0.43883360211662686</v>
      </c>
      <c r="X31" s="68">
        <f>IF(X$4,1/(1+Inputs!$G$10)^X$3,0)</f>
        <v>0.42195538665060278</v>
      </c>
      <c r="Y31" s="68">
        <f>IF(Y$4,1/(1+Inputs!$G$10)^Y$3,0)</f>
        <v>0.40572633331788732</v>
      </c>
      <c r="Z31" s="68">
        <f>IF(Z$4,1/(1+Inputs!$G$10)^Z$3,0)</f>
        <v>0.39012147434412242</v>
      </c>
      <c r="AA31" s="68">
        <f>IF(AA$4,1/(1+Inputs!$G$10)^AA$3,0)</f>
        <v>0.37511680225396377</v>
      </c>
    </row>
    <row r="32" spans="1:27">
      <c r="A32" s="65" t="s">
        <v>196</v>
      </c>
      <c r="B32" s="67">
        <f t="shared" ref="B32:AA32" si="5">B30*B31</f>
        <v>-1170000</v>
      </c>
      <c r="C32" s="67">
        <f t="shared" si="5"/>
        <v>118509.61538461538</v>
      </c>
      <c r="D32" s="67">
        <f t="shared" si="5"/>
        <v>116059.54142011833</v>
      </c>
      <c r="E32" s="67">
        <f t="shared" si="5"/>
        <v>113658.22890589439</v>
      </c>
      <c r="F32" s="67">
        <f t="shared" si="5"/>
        <v>111304.72430786843</v>
      </c>
      <c r="G32" s="67">
        <f t="shared" si="5"/>
        <v>108998.09258121569</v>
      </c>
      <c r="H32" s="67">
        <f t="shared" si="5"/>
        <v>106737.41681333694</v>
      </c>
      <c r="I32" s="67">
        <f t="shared" si="5"/>
        <v>104521.79787371417</v>
      </c>
      <c r="J32" s="67">
        <f t="shared" si="5"/>
        <v>102350.35407051284</v>
      </c>
      <c r="K32" s="67">
        <f t="shared" si="5"/>
        <v>100222.220813803</v>
      </c>
      <c r="L32" s="67">
        <f t="shared" si="5"/>
        <v>-12045.701144705059</v>
      </c>
      <c r="M32" s="67">
        <f t="shared" si="5"/>
        <v>96092.511114286812</v>
      </c>
      <c r="N32" s="67">
        <f t="shared" si="5"/>
        <v>94089.288060239953</v>
      </c>
      <c r="O32" s="67">
        <f t="shared" si="5"/>
        <v>92126.081700963274</v>
      </c>
      <c r="P32" s="67">
        <f t="shared" si="5"/>
        <v>90202.108127187195</v>
      </c>
      <c r="Q32" s="67">
        <f t="shared" si="5"/>
        <v>88316.59864287269</v>
      </c>
      <c r="R32" s="67">
        <f t="shared" si="5"/>
        <v>86468.799471321734</v>
      </c>
      <c r="S32" s="67">
        <f t="shared" si="5"/>
        <v>84657.971466952731</v>
      </c>
      <c r="T32" s="67">
        <f t="shared" si="5"/>
        <v>82883.389832629851</v>
      </c>
      <c r="U32" s="67">
        <f t="shared" si="5"/>
        <v>81144.343842443021</v>
      </c>
      <c r="V32" s="67">
        <f t="shared" si="5"/>
        <v>79440.136569829483</v>
      </c>
      <c r="W32" s="67">
        <f t="shared" si="5"/>
        <v>77770.084620937356</v>
      </c>
      <c r="X32" s="67">
        <f t="shared" si="5"/>
        <v>76133.517873128279</v>
      </c>
      <c r="Y32" s="67">
        <f t="shared" si="5"/>
        <v>74529.779218521464</v>
      </c>
      <c r="Z32" s="67">
        <f t="shared" si="5"/>
        <v>72958.224312480641</v>
      </c>
      <c r="AA32" s="67">
        <f t="shared" si="5"/>
        <v>71418.221326950923</v>
      </c>
    </row>
    <row r="33" spans="1:27">
      <c r="A33" s="65" t="s">
        <v>197</v>
      </c>
      <c r="B33" s="67">
        <f>B30</f>
        <v>-1170000</v>
      </c>
      <c r="C33" s="67">
        <f t="shared" ref="C33:AA33" si="6">B33+C30</f>
        <v>-1046750</v>
      </c>
      <c r="D33" s="67">
        <f t="shared" si="6"/>
        <v>-921220</v>
      </c>
      <c r="E33" s="67">
        <f t="shared" si="6"/>
        <v>-793369.95</v>
      </c>
      <c r="F33" s="67">
        <f t="shared" si="6"/>
        <v>-663159.1655</v>
      </c>
      <c r="G33" s="67">
        <f t="shared" si="6"/>
        <v>-530546.31980499998</v>
      </c>
      <c r="H33" s="67">
        <f t="shared" si="6"/>
        <v>-395489.43632594997</v>
      </c>
      <c r="I33" s="67">
        <f t="shared" si="6"/>
        <v>-257945.88088106443</v>
      </c>
      <c r="J33" s="67">
        <f t="shared" si="6"/>
        <v>-117872.35400213909</v>
      </c>
      <c r="K33" s="67">
        <f t="shared" si="6"/>
        <v>24775.116749261157</v>
      </c>
      <c r="L33" s="67">
        <f t="shared" si="6"/>
        <v>6944.5364719771314</v>
      </c>
      <c r="M33" s="67">
        <f t="shared" si="6"/>
        <v>154874.5424883677</v>
      </c>
      <c r="N33" s="67">
        <f t="shared" si="6"/>
        <v>305514.52409490733</v>
      </c>
      <c r="O33" s="67">
        <f t="shared" si="6"/>
        <v>458911.22206749371</v>
      </c>
      <c r="P33" s="67">
        <f t="shared" si="6"/>
        <v>615112.08823546534</v>
      </c>
      <c r="Q33" s="67">
        <f t="shared" si="6"/>
        <v>774165.2929898079</v>
      </c>
      <c r="R33" s="67">
        <f t="shared" si="6"/>
        <v>936119.73274013901</v>
      </c>
      <c r="S33" s="67">
        <f t="shared" si="6"/>
        <v>1101025.0373134059</v>
      </c>
      <c r="T33" s="67">
        <f t="shared" si="6"/>
        <v>1268931.5772869047</v>
      </c>
      <c r="U33" s="67">
        <f t="shared" si="6"/>
        <v>1439890.4712479031</v>
      </c>
      <c r="V33" s="67">
        <f t="shared" si="6"/>
        <v>1613953.592971792</v>
      </c>
      <c r="W33" s="67">
        <f t="shared" si="6"/>
        <v>1791173.5785103396</v>
      </c>
      <c r="X33" s="67">
        <f t="shared" si="6"/>
        <v>1971603.8331812443</v>
      </c>
      <c r="Y33" s="67">
        <f t="shared" si="6"/>
        <v>2155298.538449801</v>
      </c>
      <c r="Z33" s="67">
        <f t="shared" si="6"/>
        <v>2342312.6586930891</v>
      </c>
      <c r="AA33" s="67">
        <f t="shared" si="6"/>
        <v>2532701.947836685</v>
      </c>
    </row>
  </sheetData>
  <mergeCells count="1">
    <mergeCell ref="A1:AA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sqref="A1:H1"/>
    </sheetView>
  </sheetViews>
  <sheetFormatPr defaultRowHeight="14"/>
  <cols>
    <col min="1" max="1" width="32" customWidth="1"/>
    <col min="2" max="2" width="16" customWidth="1"/>
    <col min="3" max="3" width="25.83203125" customWidth="1"/>
    <col min="4" max="4" width="16" customWidth="1"/>
    <col min="5" max="5" width="18" customWidth="1"/>
  </cols>
  <sheetData>
    <row r="1" spans="1:8" ht="28" customHeight="1">
      <c r="A1" s="70" t="s">
        <v>198</v>
      </c>
      <c r="B1" s="70"/>
      <c r="C1" s="70"/>
      <c r="D1" s="70"/>
      <c r="E1" s="70"/>
      <c r="F1" s="71"/>
      <c r="G1" s="71"/>
      <c r="H1" s="71"/>
    </row>
    <row r="3" spans="1:8">
      <c r="A3" s="25" t="s">
        <v>199</v>
      </c>
      <c r="B3" s="25" t="str">
        <f>Inputs!B5</f>
        <v>Base</v>
      </c>
      <c r="C3" s="25"/>
      <c r="D3" s="72" t="s">
        <v>200</v>
      </c>
      <c r="E3" s="72"/>
      <c r="F3" s="73"/>
      <c r="G3" s="73"/>
      <c r="H3" s="73"/>
    </row>
    <row r="4" spans="1:8">
      <c r="A4" s="4"/>
      <c r="B4" s="2"/>
      <c r="C4" s="2"/>
      <c r="D4" s="2" t="s">
        <v>201</v>
      </c>
      <c r="E4" s="3" t="s">
        <v>127</v>
      </c>
    </row>
    <row r="5" spans="1:8">
      <c r="A5" s="4" t="s">
        <v>145</v>
      </c>
      <c r="B5" s="3">
        <f>Inputs!B45</f>
        <v>1450000</v>
      </c>
      <c r="C5" s="2"/>
      <c r="D5" s="2" t="s">
        <v>202</v>
      </c>
      <c r="E5" s="3">
        <f>Calculations!C11+Calculations!C13+Calculations!C14+Calculations!C15</f>
        <v>216750</v>
      </c>
    </row>
    <row r="6" spans="1:8">
      <c r="A6" s="4" t="s">
        <v>147</v>
      </c>
      <c r="B6" s="3">
        <f>Inputs!B46</f>
        <v>280000</v>
      </c>
      <c r="C6" s="2"/>
      <c r="D6" s="2" t="s">
        <v>203</v>
      </c>
      <c r="E6" s="3">
        <f>Calculations!C10+Calculations!C12+Calculations!C16</f>
        <v>93500</v>
      </c>
    </row>
    <row r="7" spans="1:8">
      <c r="A7" s="4" t="s">
        <v>149</v>
      </c>
      <c r="B7" s="3">
        <f>Inputs!B47</f>
        <v>1170000</v>
      </c>
      <c r="C7" s="2"/>
      <c r="D7" s="2" t="s">
        <v>204</v>
      </c>
      <c r="E7" s="3">
        <f>SUM(E5:E6)</f>
        <v>310250</v>
      </c>
    </row>
    <row r="8" spans="1:8">
      <c r="A8" s="4" t="s">
        <v>205</v>
      </c>
      <c r="B8" s="3">
        <f>Calculations!C17</f>
        <v>310250</v>
      </c>
      <c r="C8" s="2"/>
      <c r="D8" s="2"/>
      <c r="E8" s="3"/>
    </row>
    <row r="9" spans="1:8">
      <c r="A9" s="4" t="s">
        <v>206</v>
      </c>
      <c r="B9" s="3">
        <f>Calculations!C26</f>
        <v>187000</v>
      </c>
      <c r="C9" s="2"/>
      <c r="D9" s="2" t="s">
        <v>207</v>
      </c>
      <c r="E9" s="3" t="s">
        <v>127</v>
      </c>
    </row>
    <row r="10" spans="1:8">
      <c r="A10" s="4" t="s">
        <v>208</v>
      </c>
      <c r="B10" s="3">
        <f>Calculations!C28</f>
        <v>123250</v>
      </c>
      <c r="C10" s="2"/>
      <c r="D10" s="2" t="s">
        <v>209</v>
      </c>
      <c r="E10" s="3">
        <f>Calculations!C19+Calculations!C20+Calculations!C21+Calculations!C22+Calculations!C23+Calculations!C25</f>
        <v>187000</v>
      </c>
    </row>
    <row r="11" spans="1:8">
      <c r="A11" s="4" t="s">
        <v>210</v>
      </c>
      <c r="B11" s="3">
        <f>SUM(Calculations!B32:AA32)</f>
        <v>1048547.3472071196</v>
      </c>
      <c r="C11" s="2"/>
      <c r="D11" s="2" t="s">
        <v>211</v>
      </c>
      <c r="E11" s="3">
        <f>Calculations!C24</f>
        <v>0</v>
      </c>
    </row>
    <row r="12" spans="1:8">
      <c r="A12" s="4" t="s">
        <v>212</v>
      </c>
      <c r="B12" s="5">
        <f>IF(MAX(Calculations!B33:AA33)&lt;0,"Not paid back",_xlfn.MINIFS(Calculations!B3:AA3,Calculations!B33:AA33,"&gt;=0"))</f>
        <v>9</v>
      </c>
      <c r="C12" s="2"/>
      <c r="D12" s="2" t="s">
        <v>213</v>
      </c>
      <c r="E12" s="3">
        <f>SUM(E10:E11)</f>
        <v>187000</v>
      </c>
    </row>
    <row r="13" spans="1:8">
      <c r="A13" s="4" t="s">
        <v>214</v>
      </c>
      <c r="B13" s="3">
        <f>SUM(Calculations!B30:AA30)</f>
        <v>2532701.947836685</v>
      </c>
      <c r="C13" s="2"/>
      <c r="D13" s="2" t="s">
        <v>215</v>
      </c>
      <c r="E13" s="3">
        <f>E7-E12</f>
        <v>123250</v>
      </c>
    </row>
    <row r="14" spans="1:8">
      <c r="A14" s="4" t="s">
        <v>216</v>
      </c>
      <c r="B14" s="6">
        <f>IF(SUMPRODUCT(Calculations!B26:AA26,Calculations!B31:AA31)=0,"",SUMPRODUCT(Calculations!B17:AA17,Calculations!B31:AA31)/SUMPRODUCT(Calculations!B26:AA26,Calculations!B31:AA31))</f>
        <v>1.5380916896483248</v>
      </c>
      <c r="C14" s="2"/>
      <c r="D14" s="2"/>
      <c r="E14" s="2"/>
    </row>
    <row r="15" spans="1:8">
      <c r="A15" s="4"/>
      <c r="B15" s="2"/>
      <c r="C15" s="2"/>
      <c r="D15" s="2"/>
      <c r="E15" s="2"/>
    </row>
    <row r="17" spans="1:5">
      <c r="A17" s="74" t="s">
        <v>177</v>
      </c>
      <c r="B17" s="74" t="s">
        <v>217</v>
      </c>
      <c r="C17" s="74" t="s">
        <v>218</v>
      </c>
    </row>
    <row r="18" spans="1:5">
      <c r="A18" s="75">
        <f>Calculations!B$3</f>
        <v>0</v>
      </c>
      <c r="B18" s="76">
        <f>Calculations!B$30</f>
        <v>-1170000</v>
      </c>
      <c r="C18" s="76">
        <f>Calculations!B$33</f>
        <v>-1170000</v>
      </c>
      <c r="D18" s="7"/>
      <c r="E18" s="7"/>
    </row>
    <row r="19" spans="1:5">
      <c r="A19">
        <f>Calculations!C$3</f>
        <v>1</v>
      </c>
      <c r="B19" s="1">
        <f>Calculations!C$30</f>
        <v>123250</v>
      </c>
      <c r="C19" s="1">
        <f>Calculations!C$33</f>
        <v>-1046750</v>
      </c>
    </row>
    <row r="20" spans="1:5">
      <c r="A20">
        <f>Calculations!D$3</f>
        <v>2</v>
      </c>
      <c r="B20" s="1">
        <f>Calculations!D$30</f>
        <v>125530</v>
      </c>
      <c r="C20" s="1">
        <f>Calculations!D$33</f>
        <v>-921220</v>
      </c>
    </row>
    <row r="21" spans="1:5">
      <c r="A21">
        <f>Calculations!E$3</f>
        <v>3</v>
      </c>
      <c r="B21" s="1">
        <f>Calculations!E$30</f>
        <v>127850.04999999999</v>
      </c>
      <c r="C21" s="1">
        <f>Calculations!E$33</f>
        <v>-793369.95</v>
      </c>
    </row>
    <row r="22" spans="1:5">
      <c r="A22">
        <f>Calculations!F$3</f>
        <v>4</v>
      </c>
      <c r="B22" s="1">
        <f>Calculations!F$30</f>
        <v>130210.78449999998</v>
      </c>
      <c r="C22" s="1">
        <f>Calculations!F$33</f>
        <v>-663159.1655</v>
      </c>
    </row>
    <row r="23" spans="1:5">
      <c r="A23">
        <f>Calculations!G$3</f>
        <v>5</v>
      </c>
      <c r="B23" s="1">
        <f>Calculations!G$30</f>
        <v>132612.84569500003</v>
      </c>
      <c r="C23" s="1">
        <f>Calculations!G$33</f>
        <v>-530546.31980499998</v>
      </c>
    </row>
    <row r="24" spans="1:5">
      <c r="A24">
        <f>Calculations!H$3</f>
        <v>6</v>
      </c>
      <c r="B24" s="1">
        <f>Calculations!H$30</f>
        <v>135056.88347904998</v>
      </c>
      <c r="C24" s="1">
        <f>Calculations!H$33</f>
        <v>-395489.43632594997</v>
      </c>
    </row>
    <row r="25" spans="1:5">
      <c r="A25">
        <f>Calculations!I$3</f>
        <v>7</v>
      </c>
      <c r="B25" s="1">
        <f>Calculations!I$30</f>
        <v>137543.55544488554</v>
      </c>
      <c r="C25" s="1">
        <f>Calculations!I$33</f>
        <v>-257945.88088106443</v>
      </c>
    </row>
    <row r="26" spans="1:5">
      <c r="A26">
        <f>Calculations!J$3</f>
        <v>8</v>
      </c>
      <c r="B26" s="1">
        <f>Calculations!J$30</f>
        <v>140073.52687892533</v>
      </c>
      <c r="C26" s="1">
        <f>Calculations!J$33</f>
        <v>-117872.35400213909</v>
      </c>
    </row>
    <row r="27" spans="1:5">
      <c r="A27">
        <f>Calculations!K$3</f>
        <v>9</v>
      </c>
      <c r="B27" s="1">
        <f>Calculations!K$30</f>
        <v>142647.47075140025</v>
      </c>
      <c r="C27" s="1">
        <f>Calculations!K$33</f>
        <v>24775.116749261157</v>
      </c>
    </row>
    <row r="28" spans="1:5">
      <c r="A28">
        <f>Calculations!L$3</f>
        <v>10</v>
      </c>
      <c r="B28" s="1">
        <f>Calculations!L$30</f>
        <v>-17830.580277284025</v>
      </c>
      <c r="C28" s="1">
        <f>Calculations!L$33</f>
        <v>6944.5364719771314</v>
      </c>
    </row>
    <row r="29" spans="1:5">
      <c r="A29">
        <f>Calculations!M$3</f>
        <v>11</v>
      </c>
      <c r="B29" s="1">
        <f>Calculations!M$30</f>
        <v>147930.00601639057</v>
      </c>
      <c r="C29" s="1">
        <f>Calculations!M$33</f>
        <v>154874.5424883677</v>
      </c>
    </row>
    <row r="30" spans="1:5">
      <c r="A30">
        <f>Calculations!N$3</f>
        <v>12</v>
      </c>
      <c r="B30" s="1">
        <f>Calculations!N$30</f>
        <v>150639.98160653966</v>
      </c>
      <c r="C30" s="1">
        <f>Calculations!N$33</f>
        <v>305514.52409490733</v>
      </c>
    </row>
    <row r="31" spans="1:5">
      <c r="A31">
        <f>Calculations!O$3</f>
        <v>13</v>
      </c>
      <c r="B31" s="1">
        <f>Calculations!O$30</f>
        <v>153396.69797258638</v>
      </c>
      <c r="C31" s="1">
        <f>Calculations!O$33</f>
        <v>458911.22206749371</v>
      </c>
    </row>
    <row r="32" spans="1:5">
      <c r="A32">
        <f>Calculations!P$3</f>
        <v>14</v>
      </c>
      <c r="B32" s="1">
        <f>Calculations!P$30</f>
        <v>156200.86616797157</v>
      </c>
      <c r="C32" s="1">
        <f>Calculations!P$33</f>
        <v>615112.08823546534</v>
      </c>
    </row>
    <row r="33" spans="1:3">
      <c r="A33">
        <f>Calculations!Q$3</f>
        <v>15</v>
      </c>
      <c r="B33" s="1">
        <f>Calculations!Q$30</f>
        <v>159053.20475434256</v>
      </c>
      <c r="C33" s="1">
        <f>Calculations!Q$33</f>
        <v>774165.2929898079</v>
      </c>
    </row>
    <row r="34" spans="1:3">
      <c r="A34">
        <f>Calculations!R$3</f>
        <v>16</v>
      </c>
      <c r="B34" s="1">
        <f>Calculations!R$30</f>
        <v>161954.4397503311</v>
      </c>
      <c r="C34" s="1">
        <f>Calculations!R$33</f>
        <v>936119.73274013901</v>
      </c>
    </row>
    <row r="35" spans="1:3">
      <c r="A35">
        <f>Calculations!S$3</f>
        <v>17</v>
      </c>
      <c r="B35" s="1">
        <f>Calculations!S$30</f>
        <v>164905.30457326677</v>
      </c>
      <c r="C35" s="1">
        <f>Calculations!S$33</f>
        <v>1101025.0373134059</v>
      </c>
    </row>
    <row r="36" spans="1:3">
      <c r="A36">
        <f>Calculations!T$3</f>
        <v>18</v>
      </c>
      <c r="B36" s="1">
        <f>Calculations!T$30</f>
        <v>167906.53997349873</v>
      </c>
      <c r="C36" s="1">
        <f>Calculations!T$33</f>
        <v>1268931.5772869047</v>
      </c>
    </row>
    <row r="37" spans="1:3">
      <c r="A37">
        <f>Calculations!U$3</f>
        <v>19</v>
      </c>
      <c r="B37" s="1">
        <f>Calculations!U$30</f>
        <v>170958.89396099845</v>
      </c>
      <c r="C37" s="1">
        <f>Calculations!U$33</f>
        <v>1439890.4712479031</v>
      </c>
    </row>
    <row r="38" spans="1:3">
      <c r="A38">
        <f>Calculations!V$3</f>
        <v>20</v>
      </c>
      <c r="B38" s="1">
        <f>Calculations!V$30</f>
        <v>174063.12172388902</v>
      </c>
      <c r="C38" s="1">
        <f>Calculations!V$33</f>
        <v>1613953.592971792</v>
      </c>
    </row>
    <row r="39" spans="1:3">
      <c r="A39">
        <f>Calculations!W$3</f>
        <v>21</v>
      </c>
      <c r="B39" s="1">
        <f>Calculations!W$30</f>
        <v>177219.98553854757</v>
      </c>
      <c r="C39" s="1">
        <f>Calculations!W$33</f>
        <v>1791173.5785103396</v>
      </c>
    </row>
    <row r="40" spans="1:3">
      <c r="A40">
        <f>Calculations!X$3</f>
        <v>22</v>
      </c>
      <c r="B40" s="1">
        <f>Calculations!X$30</f>
        <v>180430.2546709046</v>
      </c>
      <c r="C40" s="1">
        <f>Calculations!X$33</f>
        <v>1971603.8331812443</v>
      </c>
    </row>
    <row r="41" spans="1:3">
      <c r="A41">
        <f>Calculations!Y$3</f>
        <v>23</v>
      </c>
      <c r="B41" s="1">
        <f>Calculations!Y$30</f>
        <v>183694.7052685566</v>
      </c>
      <c r="C41" s="1">
        <f>Calculations!Y$33</f>
        <v>2155298.538449801</v>
      </c>
    </row>
    <row r="42" spans="1:3">
      <c r="A42">
        <f>Calculations!Z$3</f>
        <v>24</v>
      </c>
      <c r="B42" s="1">
        <f>Calculations!Z$30</f>
        <v>187014.12024328834</v>
      </c>
      <c r="C42" s="1">
        <f>Calculations!Z$33</f>
        <v>2342312.6586930891</v>
      </c>
    </row>
    <row r="43" spans="1:3">
      <c r="A43">
        <f>Calculations!AA$3</f>
        <v>25</v>
      </c>
      <c r="B43" s="1">
        <f>Calculations!AA$30</f>
        <v>190389.28914359573</v>
      </c>
      <c r="C43" s="1">
        <f>Calculations!AA$33</f>
        <v>2532701.947836685</v>
      </c>
    </row>
  </sheetData>
  <mergeCells count="2">
    <mergeCell ref="A1:H1"/>
    <mergeCell ref="D3:H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F2F279C907F246A4EAB96BA430F9D1" ma:contentTypeVersion="16" ma:contentTypeDescription="Create a new document." ma:contentTypeScope="" ma:versionID="fb0cb8df474d8d75be3fbca9ff754cdb">
  <xsd:schema xmlns:xsd="http://www.w3.org/2001/XMLSchema" xmlns:xs="http://www.w3.org/2001/XMLSchema" xmlns:p="http://schemas.microsoft.com/office/2006/metadata/properties" xmlns:ns2="129a5459-cdee-4c06-ac3c-d4228a25c162" xmlns:ns3="78ea18b6-e2a5-44b0-bbd3-104bf2731368" targetNamespace="http://schemas.microsoft.com/office/2006/metadata/properties" ma:root="true" ma:fieldsID="3efa42f916c9303a7831704ae0380008" ns2:_="" ns3:_="">
    <xsd:import namespace="129a5459-cdee-4c06-ac3c-d4228a25c162"/>
    <xsd:import namespace="78ea18b6-e2a5-44b0-bbd3-104bf27313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Note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9a5459-cdee-4c06-ac3c-d4228a25c1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8cd521b-c766-495a-bf72-da9be8cb7f8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Notes" ma:index="19" nillable="true" ma:displayName="Notes" ma:format="Dropdown" ma:internalName="Notes">
      <xsd:simpleType>
        <xsd:restriction base="dms:Text">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ea18b6-e2a5-44b0-bbd3-104bf273136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6740d93-3fa1-441f-b4ed-349ec5ecd571}" ma:internalName="TaxCatchAll" ma:showField="CatchAllData" ma:web="78ea18b6-e2a5-44b0-bbd3-104bf27313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129a5459-cdee-4c06-ac3c-d4228a25c162" xsi:nil="true"/>
    <lcf76f155ced4ddcb4097134ff3c332f xmlns="129a5459-cdee-4c06-ac3c-d4228a25c162">
      <Terms xmlns="http://schemas.microsoft.com/office/infopath/2007/PartnerControls"/>
    </lcf76f155ced4ddcb4097134ff3c332f>
    <TaxCatchAll xmlns="78ea18b6-e2a5-44b0-bbd3-104bf27313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668301-11BD-41DC-828D-179C6395F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9a5459-cdee-4c06-ac3c-d4228a25c162"/>
    <ds:schemaRef ds:uri="78ea18b6-e2a5-44b0-bbd3-104bf2731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E074CE-42A5-48BF-91A5-B07664C6C591}">
  <ds:schemaRefs>
    <ds:schemaRef ds:uri="129a5459-cdee-4c06-ac3c-d4228a25c162"/>
    <ds:schemaRef ds:uri="http://purl.org/dc/elements/1.1/"/>
    <ds:schemaRef ds:uri="http://schemas.microsoft.com/office/2006/metadata/properties"/>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78ea18b6-e2a5-44b0-bbd3-104bf2731368"/>
    <ds:schemaRef ds:uri="http://www.w3.org/XML/1998/namespace"/>
  </ds:schemaRefs>
</ds:datastoreItem>
</file>

<file path=customXml/itemProps3.xml><?xml version="1.0" encoding="utf-8"?>
<ds:datastoreItem xmlns:ds="http://schemas.openxmlformats.org/officeDocument/2006/customXml" ds:itemID="{BD35C2E9-12D6-463A-A097-8BA1FBAAE3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 Me</vt:lpstr>
      <vt:lpstr>Inputs</vt:lpstr>
      <vt:lpstr>Calculations</vt:lpstr>
      <vt:lpstr>Summary</vt:lpstr>
      <vt:lpstr>lo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Katherine Clark</cp:lastModifiedBy>
  <cp:revision/>
  <dcterms:created xsi:type="dcterms:W3CDTF">2026-06-15T14:51:38Z</dcterms:created>
  <dcterms:modified xsi:type="dcterms:W3CDTF">2026-09-04T13:31:49Z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0x010100DDF2F279C907F246A4EAB96BA430F9D1</vt:lpwstr>
  </property>
  <property fmtid="{D5CDD505-2E9C-101B-9397-08002B2CF9AE}" pid="3" name="MediaServiceImageTags">
    <vt:lpwstr/>
  </property>
</Properties>
</file>