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fileSharing readOnlyRecommended="1" userName="mdjomolite" algorithmName="SHA-512" hashValue="FFGsdXYpkSjtx5P2a6nvCnU18evoVrWb3IJaJgXPN4Bs2JPcf4dSLZkJw+29GaUiTy3mAb1YR/i5pL5vkk/ZrQ==" saltValue="2Jlyy6WX12jk4LqEwKQLJw==" spinCount="100000"/>
  <workbookPr/>
  <mc:AlternateContent xmlns:mc="http://schemas.openxmlformats.org/markup-compatibility/2006">
    <mc:Choice Requires="x15">
      <x15ac:absPath xmlns:x15ac="http://schemas.microsoft.com/office/spreadsheetml/2010/11/ac" url="C:\Users\mdjomolite\Desktop\"/>
    </mc:Choice>
  </mc:AlternateContent>
  <xr:revisionPtr revIDLastSave="0" documentId="13_ncr:10001_{C021A547-1AB9-45CC-BCA0-D34271EDF7A7}" xr6:coauthVersionLast="47" xr6:coauthVersionMax="47" xr10:uidLastSave="{00000000-0000-0000-0000-000000000000}"/>
  <workbookProtection workbookAlgorithmName="SHA-512" workbookHashValue="QpDVTXq4RnLYzMVP/tXdiy8sNL15En3+nCyK//sjyr4adejJgAK8GFYFV1vY+2+NiB4RA8pG3bYWpcocxDg4hw==" workbookSaltValue="blAZCMj4jKIWCBydQ6xckg==" workbookSpinCount="100000" lockStructure="1"/>
  <bookViews>
    <workbookView xWindow="-30828" yWindow="-108" windowWidth="30936" windowHeight="16776" xr2:uid="{00000000-000D-0000-FFFF-FFFF00000000}"/>
  </bookViews>
  <sheets>
    <sheet name="Readme" sheetId="1" r:id="rId1"/>
    <sheet name="Scenario Manager" sheetId="2" r:id="rId2"/>
    <sheet name="Inputs" sheetId="3" r:id="rId3"/>
    <sheet name="Capex Opex" sheetId="4" r:id="rId4"/>
    <sheet name="Financing" sheetId="5" r:id="rId5"/>
    <sheet name="Baseline" sheetId="6" r:id="rId6"/>
    <sheet name="AV Model" sheetId="7" r:id="rId7"/>
    <sheet name="Partial Budget" sheetId="8" r:id="rId8"/>
    <sheet name="Sensitivity" sheetId="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4" l="1"/>
  <c r="C16" i="3"/>
  <c r="F16" i="2"/>
  <c r="C28" i="4" s="1"/>
  <c r="C13" i="4"/>
  <c r="C15" i="4" s="1"/>
  <c r="F14" i="2"/>
  <c r="C5" i="5" s="1"/>
  <c r="F13" i="2"/>
  <c r="C14" i="7" s="1"/>
  <c r="F12" i="2"/>
  <c r="C20" i="7" s="1"/>
  <c r="F11" i="2"/>
  <c r="C26" i="7" s="1"/>
  <c r="F10" i="2"/>
  <c r="C22" i="7" s="1"/>
  <c r="F9" i="2"/>
  <c r="C32" i="7" s="1"/>
  <c r="F8" i="2"/>
  <c r="C9" i="7" s="1"/>
  <c r="F7" i="2"/>
  <c r="C8" i="7" s="1"/>
  <c r="F17" i="2"/>
  <c r="C17" i="5" s="1"/>
  <c r="B4" i="2"/>
  <c r="C3" i="8" s="1"/>
  <c r="C36" i="7"/>
  <c r="C10" i="8" s="1"/>
  <c r="C35" i="7"/>
  <c r="C9" i="8" s="1"/>
  <c r="C25" i="7"/>
  <c r="C7" i="7"/>
  <c r="C8" i="6"/>
  <c r="C7" i="6"/>
  <c r="C31" i="7" s="1"/>
  <c r="C6" i="6"/>
  <c r="C13" i="7" s="1"/>
  <c r="C5" i="6"/>
  <c r="C4" i="6"/>
  <c r="C9" i="5"/>
  <c r="C19" i="7" l="1"/>
  <c r="C21" i="7" s="1"/>
  <c r="C23" i="7" s="1"/>
  <c r="C27" i="7" s="1"/>
  <c r="C14" i="8" s="1"/>
  <c r="C16" i="4"/>
  <c r="C17" i="4" s="1"/>
  <c r="C18" i="4" s="1"/>
  <c r="C4" i="5" s="1"/>
  <c r="C27" i="4"/>
  <c r="C29" i="4" s="1"/>
  <c r="C40" i="7" s="1"/>
  <c r="C20" i="8" s="1"/>
  <c r="C10" i="5"/>
  <c r="C9" i="6"/>
  <c r="C15" i="7"/>
  <c r="C16" i="7" s="1"/>
  <c r="C33" i="7"/>
  <c r="C34" i="7" s="1"/>
  <c r="C15" i="8" s="1"/>
  <c r="C3" i="7"/>
  <c r="C6" i="7"/>
  <c r="C10" i="7" s="1"/>
  <c r="C11" i="7" s="1"/>
  <c r="C16" i="8" l="1"/>
  <c r="C6" i="5"/>
  <c r="C7" i="5" s="1"/>
  <c r="C24" i="8"/>
  <c r="C6" i="8"/>
  <c r="C25" i="8"/>
  <c r="C7" i="8"/>
  <c r="C24" i="7"/>
  <c r="C26" i="8" l="1"/>
  <c r="C18" i="5"/>
  <c r="C19" i="5" s="1"/>
  <c r="C11" i="5"/>
  <c r="C39" i="7" s="1"/>
  <c r="C28" i="7"/>
  <c r="C20" i="5" l="1"/>
  <c r="C19" i="8"/>
  <c r="C21" i="8" s="1"/>
  <c r="C8" i="8"/>
  <c r="C11" i="8" s="1"/>
  <c r="C41" i="7"/>
  <c r="C34" i="8"/>
  <c r="F17" i="9" l="1"/>
  <c r="B17" i="9"/>
  <c r="C12" i="9"/>
  <c r="D7" i="9"/>
  <c r="E17" i="9"/>
  <c r="F12" i="9"/>
  <c r="B12" i="9"/>
  <c r="C7" i="9"/>
  <c r="D17" i="9"/>
  <c r="E12" i="9"/>
  <c r="F7" i="9"/>
  <c r="B7" i="9"/>
  <c r="C17" i="9"/>
  <c r="D12" i="9"/>
  <c r="E7" i="9"/>
  <c r="C3" i="9"/>
  <c r="C29" i="8"/>
  <c r="C32" i="8" l="1"/>
  <c r="C33" i="8"/>
</calcChain>
</file>

<file path=xl/sharedStrings.xml><?xml version="1.0" encoding="utf-8"?>
<sst xmlns="http://schemas.openxmlformats.org/spreadsheetml/2006/main" count="447" uniqueCount="343">
  <si>
    <t>EU Agrivoltaics Partial Budget Model Template</t>
  </si>
  <si>
    <t>Purpose</t>
  </si>
  <si>
    <t>The purpose of this partial budget is to provide an estimate of the incremental annual impact of adding agrivoltaics to an existing farm enterprise under a general EU policy and market framework.</t>
  </si>
  <si>
    <t>Disclaimer</t>
  </si>
  <si>
    <t>The aim of model is to encourage the user to think of the various costs and benefits  of investing in a new enterprise. However, it should not be used as the basis for significant investment without consulting with APV planning experts first</t>
  </si>
  <si>
    <t>How to use</t>
  </si>
  <si>
    <t>1) Pick a scenario number (1 Conservative, 2 Base, 3 Favourable, 4 Farmer Estimate) on Scenario_Manager. Note that the "Farmer estimate" tab allows you to put in your own base data. It is suggested that you download and save as "Version 1, V1" the base model and then save models with your own data as V2,V3 etc.</t>
  </si>
  <si>
    <t>The conservative, base and favourable scenarios relate in part to the users perception of risk. If your overall income remains positive in the conservative mode this should give you more confidence of success in comparison to a scenario where a positive financial outcome can only be reached in the favourable scenario.</t>
  </si>
  <si>
    <t>2) The blue/yellow cells allow you to replace base data with your farm, project, market, and Member State assumptions.</t>
  </si>
  <si>
    <t>3) Please make sure you review the CAP retained %, grant %, export price, self-consumption share, and grid costs carefully. These may be need to be tailored to your own specific circumstances. You may decide to put estimates in to start with and then investigate in more depth once you have the model running for your situation.</t>
  </si>
  <si>
    <t>4) Having inputed your data, it is probably best to read the Partial Budget sheet first, then Baseline / AV_Model / Sensitivity for more detail.</t>
  </si>
  <si>
    <t>5) It is suggested that where you have sourced your own data, you should add or make a note of the source and any URLs (for example of local or country based figures) in comments where you replace the underlying assumptions in the model.</t>
  </si>
  <si>
    <t>Legend</t>
  </si>
  <si>
    <t>Blue text + yellow fill</t>
  </si>
  <si>
    <t>Editable input</t>
  </si>
  <si>
    <t>Black text</t>
  </si>
  <si>
    <t>Calculated formula</t>
  </si>
  <si>
    <t>Green text</t>
  </si>
  <si>
    <t>Linked formula / applicable across several worksheets</t>
  </si>
  <si>
    <t>Orange fill</t>
  </si>
  <si>
    <t>Review / caution note</t>
  </si>
  <si>
    <t>Sheet map</t>
  </si>
  <si>
    <t>Scenario Manager</t>
  </si>
  <si>
    <t>Allows you to select Conservative / Base / Favourable/ Farmer Estimate case levels.</t>
  </si>
  <si>
    <t>Inputs</t>
  </si>
  <si>
    <t>Requires you to input core farm, crop, policy, and power assumptions.</t>
  </si>
  <si>
    <t>Capex Opex</t>
  </si>
  <si>
    <t>Requires you to input estimates for project capital and annual operating costs.</t>
  </si>
  <si>
    <t>Financing</t>
  </si>
  <si>
    <t>Outlines grant, annualised capital cost, and optional debt view. In the optional debt view you can decide how much of new capital needs to be borrowed and over what time period</t>
  </si>
  <si>
    <t>Baseline</t>
  </si>
  <si>
    <t>Just provides a without-project reference case. Ie pre-project financials</t>
  </si>
  <si>
    <t>AV Model</t>
  </si>
  <si>
    <t>Provides overview data on your agrivoltaics operating case and incremental values.</t>
  </si>
  <si>
    <t>Partial Budget</t>
  </si>
  <si>
    <t>Provides 4-box partial budget summary based on the values you have inputted, plus some KPI information</t>
  </si>
  <si>
    <t>Sensitivity</t>
  </si>
  <si>
    <t>Provides outline sensitivity in relation to some of the key variable in the model</t>
  </si>
  <si>
    <t>Key Acronyms</t>
  </si>
  <si>
    <t>KWh - Kilowatt hour</t>
  </si>
  <si>
    <t>KWdc - Kilowatt direct current, the rated capacity of solar panels</t>
  </si>
  <si>
    <t>Capex - capital costs (building costs)</t>
  </si>
  <si>
    <t>Opex - operating costs</t>
  </si>
  <si>
    <t>APV - Agri-photovoltaics or agrivoltaics</t>
  </si>
  <si>
    <t>PV - Photovoltaics</t>
  </si>
  <si>
    <t>O&amp;M - Operating and Maintenance</t>
  </si>
  <si>
    <t>EPC - Energy Performance Certificate</t>
  </si>
  <si>
    <t>CAP - Common Agricultural Policy</t>
  </si>
  <si>
    <t>KPI - Key Performance Indicator</t>
  </si>
  <si>
    <t>Important: this is an EU-oriented template, but should not be used as the ultimate investment planning tool. The authors take no responsibility for the accuracy of the output, but the output will provide some indication as to the potential profitability of APV on a given farm, in advance of seeking more professional financial and planning advice</t>
  </si>
  <si>
    <t>This project has received funding from the European Union’s Horizon Europe Research and Innovation programme under Grant Agreement No. 101116076.</t>
  </si>
  <si>
    <t>Selected scenario index</t>
  </si>
  <si>
    <t>Selected scenario label</t>
  </si>
  <si>
    <t>Parameter</t>
  </si>
  <si>
    <t>Conservative [1]</t>
  </si>
  <si>
    <t>Base [2]</t>
  </si>
  <si>
    <t>Favourable [3]</t>
  </si>
  <si>
    <t>Farmer Estimate [4]</t>
  </si>
  <si>
    <t>Active</t>
  </si>
  <si>
    <t>Units</t>
  </si>
  <si>
    <t>Explainer</t>
  </si>
  <si>
    <t>Crop yield change</t>
  </si>
  <si>
    <t>% vs baseline gross margin/ha</t>
  </si>
  <si>
    <t>The panels may have a small positive or negative impact on the associated crop</t>
  </si>
  <si>
    <t>Quality / price effect</t>
  </si>
  <si>
    <t>% uplift / penalty</t>
  </si>
  <si>
    <t>Similarly the panels may have a positive or negative impact on the associated crop</t>
  </si>
  <si>
    <t>Irrigation cost reduction</t>
  </si>
  <si>
    <t>% reduction</t>
  </si>
  <si>
    <t>The shading impact of the panels should reduce evapotranspiration and thus reduce the volume  of irrigation water used</t>
  </si>
  <si>
    <t>Self-consumption share</t>
  </si>
  <si>
    <t>% of net generation used on farm</t>
  </si>
  <si>
    <t>This asks you to estimate the share of solar electric produced that will be used on farm</t>
  </si>
  <si>
    <t>Export price uplift vs base export price</t>
  </si>
  <si>
    <t>% uplift / discount</t>
  </si>
  <si>
    <t>This is a bonus above the general base price for instance related to specific RE market premiums, Local Community Benefits Scheme etc</t>
  </si>
  <si>
    <t>Curtailment</t>
  </si>
  <si>
    <t>% of gross generation</t>
  </si>
  <si>
    <t>Is when panels are producing electric but for whatever reason this cannot be exported to the grid or used locally</t>
  </si>
  <si>
    <t>CAP retained</t>
  </si>
  <si>
    <t>% of baseline CAP retained</t>
  </si>
  <si>
    <r>
      <t xml:space="preserve">The percentage of your Common Agricultural Policy payments that you </t>
    </r>
    <r>
      <rPr>
        <i/>
        <sz val="10"/>
        <color theme="0" tint="-0.499984740745262"/>
        <rFont val="Calibri"/>
        <family val="2"/>
        <scheme val="minor"/>
      </rPr>
      <t>keep</t>
    </r>
    <r>
      <rPr>
        <sz val="10"/>
        <color theme="0" tint="-0.499984740745262"/>
        <rFont val="Calibri"/>
        <family val="2"/>
        <scheme val="minor"/>
      </rPr>
      <t xml:space="preserve"> after installing agrivoltaics on that land. ie does the land with APV installed still count as full eligible agricultural land for CAP calculation?</t>
    </r>
  </si>
  <si>
    <t>Investment grant</t>
  </si>
  <si>
    <t>% of gross capex that is grant funded</t>
  </si>
  <si>
    <t>In some areas grants may be available to fund initial CAPEX</t>
  </si>
  <si>
    <t>Extra grid connection costs</t>
  </si>
  <si>
    <t>% above base grid cost</t>
  </si>
  <si>
    <t>This is usually an extra cost related to the need to improve the local power network to take your input, or where there are extra costs above the base related to connectivity distance</t>
  </si>
  <si>
    <t>O&amp;M costs</t>
  </si>
  <si>
    <t>% above base annual O&amp;M</t>
  </si>
  <si>
    <t>Agrivoltaics is more complex than standard ground-mount PV, so operating costs can be higher related to more complex structures, damage from farming operations, more complex cleaning etc</t>
  </si>
  <si>
    <t>Interest rate on additional borrowings</t>
  </si>
  <si>
    <t>for optional debt view only</t>
  </si>
  <si>
    <t>This will influence the cost of any additional debt due to APV investment</t>
  </si>
  <si>
    <t>You can select the scenario in cell B3, which are a conservative [1], base [2], favourable [3] and then a farmer's own estimate [4]. As a farmer you may want to select your own situation under the "inputs" tab and then run scenarios 1-3, before then developing your own "most realistic" scenario under 4 knowing your own conditions and risk perceptions</t>
  </si>
  <si>
    <t>Scenario note</t>
  </si>
  <si>
    <t>Please input farm and project assumptions on Inputs / Capex_Opex tabs. Use this sheet for policy and market uncertainty.</t>
  </si>
  <si>
    <t>Core Inputs &amp; Assumptions</t>
  </si>
  <si>
    <t>Farm / Crop / Land</t>
  </si>
  <si>
    <t>Values</t>
  </si>
  <si>
    <t>Explanation</t>
  </si>
  <si>
    <t>Farmer notes</t>
  </si>
  <si>
    <t>Affected area under evaluation</t>
  </si>
  <si>
    <t>ha</t>
  </si>
  <si>
    <t>ie your farm may be 200 ha, but you are considering a fraction, say 40ha, for APV</t>
  </si>
  <si>
    <t>Farmable share under AV layout</t>
  </si>
  <si>
    <t>%</t>
  </si>
  <si>
    <t>This suggests the percentage area under APV that can still be cropped</t>
  </si>
  <si>
    <t>Baseline crop gross margin</t>
  </si>
  <si>
    <t>€/ha</t>
  </si>
  <si>
    <t>This is the average farm gross margin per hectare achieved prior to APV installation</t>
  </si>
  <si>
    <t>Baseline CAP / area payment</t>
  </si>
  <si>
    <t>This is the area payment received prior to APV installation</t>
  </si>
  <si>
    <t>Baseline irrigation cost</t>
  </si>
  <si>
    <t>This is the irrigation cost per hectare, if any, prior to APV installation</t>
  </si>
  <si>
    <t>Baseline electricity use on affected enterprise</t>
  </si>
  <si>
    <t>kWh/yr</t>
  </si>
  <si>
    <t>Overall electic use prior to APV installation</t>
  </si>
  <si>
    <t>Current retail electricity price</t>
  </si>
  <si>
    <t>€/kWh</t>
  </si>
  <si>
    <t>The price you are currently paying per KWh</t>
  </si>
  <si>
    <t>Base export power price</t>
  </si>
  <si>
    <t>The price you would receive if electric was exported</t>
  </si>
  <si>
    <t xml:space="preserve"> </t>
  </si>
  <si>
    <t>Other annual support revenue</t>
  </si>
  <si>
    <t>€/yr</t>
  </si>
  <si>
    <t>Any additional price premiums you may receive for exporting electric</t>
  </si>
  <si>
    <t>Other annual diversified revenue</t>
  </si>
  <si>
    <t>Other additonal support payments you could receive for having APV</t>
  </si>
  <si>
    <t>Project asset life</t>
  </si>
  <si>
    <t>years</t>
  </si>
  <si>
    <t>Predicted lifetime of the APV installation</t>
  </si>
  <si>
    <t>Economic discount rate</t>
  </si>
  <si>
    <r>
      <t>The discount rate applied is the interest rate used to determine the present value of future cash flows,</t>
    </r>
    <r>
      <rPr>
        <b/>
        <sz val="10"/>
        <color theme="0" tint="-0.499984740745262"/>
        <rFont val="Calibri"/>
        <family val="2"/>
        <scheme val="minor"/>
      </rPr>
      <t xml:space="preserve"> SEE NOTE BELOW</t>
    </r>
  </si>
  <si>
    <t>Installed capacity</t>
  </si>
  <si>
    <t>kWdc</t>
  </si>
  <si>
    <t>This is calculated based on inputs into cells C4 and C5. It assumed that 1ha of "solid" PV will deliver about 1000KWdc</t>
  </si>
  <si>
    <t>Specific generation</t>
  </si>
  <si>
    <t>kWh/kWdc/yr</t>
  </si>
  <si>
    <t>For a ground-mounted solar farm in the EU, you’d generally expect 850–1,050 kWh/kWdc/year, this can change based on latitude and position</t>
  </si>
  <si>
    <t>Annual degradation (info only)</t>
  </si>
  <si>
    <t>This relates to a gradual loss of panel efficiency over time</t>
  </si>
  <si>
    <t>This sheet has farm and project assumptions. Please put policy and market uncertainty into the Scenario_Manager tab  instead of repeatedly overwriting core assumptions.</t>
  </si>
  <si>
    <r>
      <rPr>
        <b/>
        <sz val="11"/>
        <color theme="1"/>
        <rFont val="Calibri"/>
        <family val="2"/>
        <scheme val="minor"/>
      </rPr>
      <t xml:space="preserve">Economic Discount Rate: </t>
    </r>
    <r>
      <rPr>
        <sz val="11"/>
        <color theme="1"/>
        <rFont val="Calibri"/>
        <family val="2"/>
        <scheme val="minor"/>
      </rPr>
      <t>The choice of this rate can make a significant difference to the projected profitability of a new enterprise. It will be important to get advice or consult the financial literature on what is a sensible rate to include in your calculations. At the time of writing 4% seems to provide a reasonable value, https://ansperformance.eu/economics/cba/standard-inputs/v9.0.3/chapters/discount_rate.html</t>
    </r>
  </si>
  <si>
    <r>
      <rPr>
        <b/>
        <sz val="11"/>
        <color theme="1"/>
        <rFont val="Calibri"/>
        <family val="2"/>
        <scheme val="minor"/>
      </rPr>
      <t>Economic Discount Rate</t>
    </r>
    <r>
      <rPr>
        <sz val="11"/>
        <color theme="1"/>
        <rFont val="Calibri"/>
        <family val="2"/>
        <scheme val="minor"/>
      </rPr>
      <t xml:space="preserve"> is a measure used to compare the value of monetary sums today with sums in the future to explore the value of an investment (e.g. agrivoltaics) over its' lifespan.</t>
    </r>
  </si>
  <si>
    <t>Capex &amp; Opex Build-up</t>
  </si>
  <si>
    <t>Capital cost inputs</t>
  </si>
  <si>
    <t>Cost per KW Installed</t>
  </si>
  <si>
    <t>€/kWdc</t>
  </si>
  <si>
    <t>You need to find estimates of the cost per KW installed in your area</t>
  </si>
  <si>
    <t>Websites accessed suggest 800 to 1300 euros per KWdc</t>
  </si>
  <si>
    <t>On-farm layout adaptation</t>
  </si>
  <si>
    <t>€</t>
  </si>
  <si>
    <t>This may include new fences, roadways, access to sites etc</t>
  </si>
  <si>
    <t>This can vary considerably depending on farm situation, but requires consideration</t>
  </si>
  <si>
    <t>Base grid connection</t>
  </si>
  <si>
    <t>This will vary considerably depending on location and nearby grid connection</t>
  </si>
  <si>
    <t>Quoted costs vary significantly, 100000 has been inputted as a starting point</t>
  </si>
  <si>
    <t>Contingency</t>
  </si>
  <si>
    <t>Project contingency is a budget allowance set aside to cover known-unknown risks, ie costs that are likely to arise but can’t be precisely estimated at the planning stage.</t>
  </si>
  <si>
    <t>Active grid connection uplift</t>
  </si>
  <si>
    <t>linked from Scenario_Manager</t>
  </si>
  <si>
    <t>Base direct capex</t>
  </si>
  <si>
    <t>This is the baseline investment needed for your project</t>
  </si>
  <si>
    <t>Added grid uplift cost</t>
  </si>
  <si>
    <t>Calculated from your estimates of baseline grid connection [c10] and the estimated uplift %[c13]</t>
  </si>
  <si>
    <t>Adjusted direct capex</t>
  </si>
  <si>
    <t>Includes uplift costs</t>
  </si>
  <si>
    <t>Contingency amount</t>
  </si>
  <si>
    <t>Contingency estimated from your % estimate [c11] and the overall project cost estimate</t>
  </si>
  <si>
    <t>Adjusted gross capex</t>
  </si>
  <si>
    <t>Total capex needed, including uplift and your estimated contingency</t>
  </si>
  <si>
    <t>Annual operating cost inputs</t>
  </si>
  <si>
    <t>Routine O&amp;M</t>
  </si>
  <si>
    <t>€/kWdc/yr</t>
  </si>
  <si>
    <t>Related to routine maintenance, cleaning, panel breakage</t>
  </si>
  <si>
    <t>Insurance</t>
  </si>
  <si>
    <t xml:space="preserve">Quote needed from broker </t>
  </si>
  <si>
    <t>Admin / compliance</t>
  </si>
  <si>
    <t>This covers the overall increase in administration costs due to investment. i.e., compliance/reporting</t>
  </si>
  <si>
    <t>Extra labour</t>
  </si>
  <si>
    <t>€/ha/yr</t>
  </si>
  <si>
    <t>Will extra labour be needed to check panels etc</t>
  </si>
  <si>
    <t>Machinery inefficiency</t>
  </si>
  <si>
    <t>This is an estimate of the overall drop in efficiency of working around fixed structures in the field</t>
  </si>
  <si>
    <t>Reserve / major maintenance</t>
  </si>
  <si>
    <t>Do you want to input a "reserve" figure to oversee unexpected one-off maintenance cost, ie new inverter costs</t>
  </si>
  <si>
    <t>Base annual O&amp;M</t>
  </si>
  <si>
    <t>€ / yr</t>
  </si>
  <si>
    <t>Estimated annual operations and maintenance budget for the whole site</t>
  </si>
  <si>
    <t>Active O&amp;M uplift</t>
  </si>
  <si>
    <t>Linked from Scenario_Manager- Agrivoltaics is more complex than standard ground-mount PV, so operating costs can be higher related to more complex structures, damage from farming operations, more complex cleaning etc</t>
  </si>
  <si>
    <t>Active annual O&amp;M</t>
  </si>
  <si>
    <t>Estimated annual operations and maintenance budget for the whole site with uplift applied</t>
  </si>
  <si>
    <t>Capex uses a simple cost build-up and applies the scenario grid uplift only to the grid connection line. If your project has EPC lump-sum pricing, you can replace the line-item inputs with quote-based totals.</t>
  </si>
  <si>
    <t>Financing &amp; Annualised Capital Cost</t>
  </si>
  <si>
    <t>Comes from estimate in Capex-Opex sheet</t>
  </si>
  <si>
    <t>Active investment grant</t>
  </si>
  <si>
    <t>Grant amount</t>
  </si>
  <si>
    <t>Calculated from the above two figures</t>
  </si>
  <si>
    <t>Net capex</t>
  </si>
  <si>
    <t>This is the net capex needed after grant receipt</t>
  </si>
  <si>
    <t>The discount rate applied is the interest rate used to determine the present value of future cash flows, showing how much future money is worth today. This can be changed in the inputs tab.</t>
  </si>
  <si>
    <t>Asset life</t>
  </si>
  <si>
    <t>This is the expected life of the installation, and can be changed in the inputs tab</t>
  </si>
  <si>
    <t>Capital recovery factor</t>
  </si>
  <si>
    <t>x</t>
  </si>
  <si>
    <t>The capital recovery factor is the fraction used to convert a one-time investment cost into an equivalent annual cost, taking into account the discount rate and the asset’s lifespan, as chosen in the inputs tab</t>
  </si>
  <si>
    <t>Annualised capital cost</t>
  </si>
  <si>
    <t>Annualised capital cost is the yearly cost of an investment, spreading its total upfront cost over its useful life while accounting for the time value of money (using the chosen discount rate).</t>
  </si>
  <si>
    <t>Optional debt view (informational only)</t>
  </si>
  <si>
    <t>Debt share</t>
  </si>
  <si>
    <t>This is the amount of the capex you will borrow</t>
  </si>
  <si>
    <t>Loan term</t>
  </si>
  <si>
    <t>This is the period of time over which you would pay back the loan</t>
  </si>
  <si>
    <t>Interest rate</t>
  </si>
  <si>
    <t>linked from Scenario_Manager -Interest rate on additional borrowings</t>
  </si>
  <si>
    <t>Debt amount</t>
  </si>
  <si>
    <t>This is the % of the net capex you are borrowing based on the Debt share number you inputted in C15</t>
  </si>
  <si>
    <t>Indicative annual debt service</t>
  </si>
  <si>
    <t>This indicates the approximate annual cost to service extra borrowings</t>
  </si>
  <si>
    <t>Equity amount</t>
  </si>
  <si>
    <t>Indicates your investment into the new enterprise</t>
  </si>
  <si>
    <t>Use annualized capital cost for the partial budget so you do not double count financing structure. The debt view is included only to sense-check cash financing pressure.</t>
  </si>
  <si>
    <t>Baseline (Without Agrivoltaics)</t>
  </si>
  <si>
    <t>Affected area</t>
  </si>
  <si>
    <t>Taken from  the "inputs" sheet</t>
  </si>
  <si>
    <t>Baseline crop gross margin total</t>
  </si>
  <si>
    <t>This is calculated by taking the average gross margin per hectare multiplied by the proposed APV area</t>
  </si>
  <si>
    <t>Baseline CAP total</t>
  </si>
  <si>
    <t>This is calculated by taking the CAP payment per hectare multiplied by the proposed APV area</t>
  </si>
  <si>
    <t>Baseline irrigation cost total</t>
  </si>
  <si>
    <t>This is calculated by taking the irrigation expenditure per hectare multiplied by the proposed APV area</t>
  </si>
  <si>
    <t xml:space="preserve">Baseline electricity cost </t>
  </si>
  <si>
    <t>This is calculated by taking the baseline electricy use in KWhrs on the affected area multipled by the retail electricity price</t>
  </si>
  <si>
    <t xml:space="preserve">Reference net contribution </t>
  </si>
  <si>
    <t>Calculated from above 4 figures taking income away from costs</t>
  </si>
  <si>
    <t xml:space="preserve">This sheet is only the reference for the affected enterprise / land under evaluation. </t>
  </si>
  <si>
    <t>Agrivoltaics Operating Case</t>
  </si>
  <si>
    <t>Agronomic / land effect</t>
  </si>
  <si>
    <t>This is the average baseline gross margin per hectare before APV multiplied by the number of hectares being considered for APV</t>
  </si>
  <si>
    <t>Farmable share under AV</t>
  </si>
  <si>
    <t>Active crop yield change</t>
  </si>
  <si>
    <t>The panels may have a small positive or negative impact on the associated crop, this figure can be changed in the scenario manager</t>
  </si>
  <si>
    <t>Active quality / price effect</t>
  </si>
  <si>
    <t>Similarly the panels may have a positive or negative impact on the associated crop, this figure can be changed in the scenario manager</t>
  </si>
  <si>
    <t>Adjusted crop gross margin total</t>
  </si>
  <si>
    <t>This is the total crop gross margin  if APV were implemented on the project area, taking into account any changes in yield and quality</t>
  </si>
  <si>
    <t>Crop gross margin change</t>
  </si>
  <si>
    <t>This is the change, usually a reduction, in crop gross margin on the affected area if the APV was to be implemented</t>
  </si>
  <si>
    <t>Active CAP retained</t>
  </si>
  <si>
    <t>CAP retained total</t>
  </si>
  <si>
    <t>This is the fraction of your gross potential CAP that is retained if APV were to go ahead</t>
  </si>
  <si>
    <t>CAP change</t>
  </si>
  <si>
    <t>This is the difference in CAP retained pre and post implementation. It will usually be a reduction.</t>
  </si>
  <si>
    <t>Electricity production and value</t>
  </si>
  <si>
    <t>Gross annual generation</t>
  </si>
  <si>
    <t>kWh / yr</t>
  </si>
  <si>
    <t>This is calculated from the installed capacity multiplied by the specific generation, see the inputs tab</t>
  </si>
  <si>
    <t>Is when panels are producing electric but for whatever reason this cannot be exported to the grid or used locally, this can be changed in the scenario manager</t>
  </si>
  <si>
    <t>Net annual generation</t>
  </si>
  <si>
    <t>Net generation taking into account the curtailment</t>
  </si>
  <si>
    <t>This is your estimate of the share of solar electric produced that will be used on farm, this can be changed in the scenario manager</t>
  </si>
  <si>
    <t>Self-consumed energy</t>
  </si>
  <si>
    <t>This is the calcualted estimate of the gross electric produced that will be used on farm, based on the percentage figure in the above line</t>
  </si>
  <si>
    <t>Exported energy</t>
  </si>
  <si>
    <t>This is the amount of electric exported taking into account curtailment loss and home consumption</t>
  </si>
  <si>
    <t>Avoided retail price</t>
  </si>
  <si>
    <t>The price you are currently paying per KWh, which you can change in the inputs tab</t>
  </si>
  <si>
    <t>Effective export price</t>
  </si>
  <si>
    <t>This price received taking into account any bonus or discount to the general base price for instance related to specific RE market premiums, Local Community Benefits Scheme etc. This can be changed in scenario manager</t>
  </si>
  <si>
    <t>Savings due to electric not purchased</t>
  </si>
  <si>
    <t>This is simply the amount of electricity used on the farm (not exported) multiplied by the retail price</t>
  </si>
  <si>
    <t>Export revenue</t>
  </si>
  <si>
    <t>Derived from the amount of electricity exported multiplied by the effective export price</t>
  </si>
  <si>
    <t>Other annual effects</t>
  </si>
  <si>
    <t>The shading impact of the panels should reduce evapotranspiration and thus reduce the volume  of irrigation water used, this can be changed in the scenario manager</t>
  </si>
  <si>
    <t>Irrigation cost after AV</t>
  </si>
  <si>
    <t>Gross cost of irrigation per year taking into account an APV effect</t>
  </si>
  <si>
    <t>Irrigation cost saving</t>
  </si>
  <si>
    <t>Gross saving in irrigation costs after APV installation</t>
  </si>
  <si>
    <t>Any additional price premiums you may receive for exporting electric, can be changed under the inputs tag</t>
  </si>
  <si>
    <t>Other additonal support payments you could receive for having APV, can be changed under the inputs tab</t>
  </si>
  <si>
    <t>Capital and operating costs</t>
  </si>
  <si>
    <t>Annualized capital cost</t>
  </si>
  <si>
    <t>Net annual change (incremental)</t>
  </si>
  <si>
    <t>Net annual change in income. The Partial_Budget tab reclassifies the same numbers into the traditional four-box partial budget framework.</t>
  </si>
  <si>
    <t>Partial Budget Summary</t>
  </si>
  <si>
    <t>Selected scenario</t>
  </si>
  <si>
    <t>This is the scenario [ out of 4 options] chosen in scenario manager tab</t>
  </si>
  <si>
    <t>Added Returns</t>
  </si>
  <si>
    <t>Positive crop gross margin change</t>
  </si>
  <si>
    <t>If your project is predicted to provide a boost in crop gross margin (GM) per hectare the calculated uplift appears here</t>
  </si>
  <si>
    <t>Positive CAP / payment change</t>
  </si>
  <si>
    <t>If your project is predicted to provide a boost in the level of CAP payment received, the calculated amount appear here</t>
  </si>
  <si>
    <t>If your project will derive a new income stream from electricity exported to the grid the calculated figure appears here</t>
  </si>
  <si>
    <t>If you manage to obtain any additional price premiums for exporting electricity this overall income is calculated and added here</t>
  </si>
  <si>
    <t>If you manage to obtain any other additonal support payments for having APV  this overall income is calculated and added here</t>
  </si>
  <si>
    <t>Total Added Returns</t>
  </si>
  <si>
    <t>This first part of the partial budget shows the increase in returns that you can expect from instigating your APV project</t>
  </si>
  <si>
    <t>Reduced Costs</t>
  </si>
  <si>
    <t>Self-consumption savings</t>
  </si>
  <si>
    <t>This cost saving is related to the reduction in electricity that needs to be imported onto the farm, that you are now self-generating</t>
  </si>
  <si>
    <t>If the APV reduces the amount of irrigation used then the gross saving, based on your inputs, is shown here.</t>
  </si>
  <si>
    <t>Total Reduced Costs</t>
  </si>
  <si>
    <t>The second part of the partial budget shows the reduction in costs that you can expect from instigating your APV project</t>
  </si>
  <si>
    <t>Added Costs</t>
  </si>
  <si>
    <t>This is the yearly cost of your investment, spreading its total upfront cost over its useful life while accounting for the time value of money (using your chosen discount rate).</t>
  </si>
  <si>
    <t>This is your estimated annual operations and maintenance budget for the whole site with uplift applied, [see Capex Opex tab for more details]</t>
  </si>
  <si>
    <t>Total Added Costs</t>
  </si>
  <si>
    <t>The third part of your partial budget shows the additional annualised costs that you can expect from instigating your APV project</t>
  </si>
  <si>
    <t>Reduced Returns</t>
  </si>
  <si>
    <t>Negative crop gross margin change</t>
  </si>
  <si>
    <t>If your project is predicted to reduce crop GM per hectare the calculated reduction appears here</t>
  </si>
  <si>
    <t>Lost CAP / payment</t>
  </si>
  <si>
    <t>If your project is predicted to reduce the level of CAP support received, the calculated amount appears here</t>
  </si>
  <si>
    <t>Total Reduced Returns</t>
  </si>
  <si>
    <t>The fourth part of your partial budget shows any reduction in returns you can expect from instigating your APV project</t>
  </si>
  <si>
    <t>Net Result</t>
  </si>
  <si>
    <t>Net annual change</t>
  </si>
  <si>
    <t>This provides the overall financial impact of your project given the data and predictions you have fed into the model</t>
  </si>
  <si>
    <t>Quick KPIs</t>
  </si>
  <si>
    <t>Net annual change per affected ha</t>
  </si>
  <si>
    <t>€ / ha / yr</t>
  </si>
  <si>
    <t>This provides the overall financial impact of your project per affected hectare given the data and predictions you have fed into the model</t>
  </si>
  <si>
    <t>Net annual change per kWdc</t>
  </si>
  <si>
    <t>€ / kW / yr</t>
  </si>
  <si>
    <t>This provides the overall financial impact of your project per KWdc produced given the data and predictions you have fed into the model</t>
  </si>
  <si>
    <t>Break-even export price</t>
  </si>
  <si>
    <t>This illustrates what the export price for electricity you would need to make the project break-even overall financially</t>
  </si>
  <si>
    <t>Sensitivity Checks</t>
  </si>
  <si>
    <t>Current net annual change</t>
  </si>
  <si>
    <t>Export price multiplier sensitivity</t>
  </si>
  <si>
    <t>This illustrates the impact if the current export price increases or decreases</t>
  </si>
  <si>
    <t>Multiplier on current export price</t>
  </si>
  <si>
    <t>Crop yield change sensitivity</t>
  </si>
  <si>
    <t>This illustrates the financial impact as the crop yield changes</t>
  </si>
  <si>
    <t>Alternative yield change</t>
  </si>
  <si>
    <t>CAP retained sensitivity</t>
  </si>
  <si>
    <t>This illustrates the financial implications of the amount of CAP payments you are able to retain.</t>
  </si>
  <si>
    <t>Alternative CAP retained</t>
  </si>
  <si>
    <t>These example sensitivity checks involve systematically adjusting one or more critical variables (e.g., prices, yields, costs, or technical coefficients) by a certain percentage or fixed amount, while holding all other variables constant, to observe the impact on the net change in profit or cost estimated by the partial budget. Replace or extend with local scenarios if you need more decision detail.</t>
  </si>
  <si>
    <t>Work your way through each tab of the spreadsheet, starting with Scenario manager. Some of the tabs may require you toeeeeee fill in details or figures, or you can use the figures supplied. See the legend below to see where you will need to input information. The Partial Budget tab gives you a final summary of the costs and incomes of your AV installation based on the numbers and assumptions you have inputted.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</si>
</sst>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Red]\(0.0%\);\-"/>
    <numFmt numFmtId="165" formatCode="#,##0;[Red]\(#,##0\);\-"/>
    <numFmt numFmtId="166" formatCode="\€#,##0;[Red]\(\€#,##0\);\-"/>
    <numFmt numFmtId="167" formatCode="\€#,##0.00;[Red]\(\€#,##0.00\);\-"/>
    <numFmt numFmtId="168" formatCode="0.000"/>
  </numFmts>
  <fonts count="35" x14ac:knownFonts="1">
    <font>
      <sz val="11"/>
      <color theme="1"/>
      <name val="Calibri"/>
      <family val="2"/>
      <scheme val="minor"/>
    </font>
    <font>
      <b/>
      <sz val="16"/>
      <color rgb="FFFFFFFF"/>
      <name val="Calibri"/>
    </font>
    <font>
      <b/>
      <sz val="10"/>
      <color rgb="FF000000"/>
      <name val="Calibri"/>
    </font>
    <font>
      <b/>
      <sz val="11"/>
      <color rgb="FFFFFFFF"/>
      <name val="Calibri"/>
    </font>
    <font>
      <sz val="10"/>
      <color rgb="FF000000"/>
      <name val="Calibri"/>
    </font>
    <font>
      <sz val="10"/>
      <color rgb="FF666666"/>
      <name val="Calibri"/>
    </font>
    <font>
      <i/>
      <sz val="10"/>
      <color rgb="FF7F6000"/>
      <name val="Calibri"/>
    </font>
    <font>
      <sz val="10"/>
      <color rgb="FF0000FF"/>
      <name val="Calibri"/>
    </font>
    <font>
      <sz val="10"/>
      <color rgb="FF008000"/>
      <name val="Calibri"/>
    </font>
    <font>
      <i/>
      <sz val="11"/>
      <color theme="1"/>
      <name val="Calibri"/>
      <family val="2"/>
      <scheme val="minor"/>
    </font>
    <font>
      <sz val="10"/>
      <color rgb="FF000000"/>
      <name val="Calibri"/>
      <family val="2"/>
    </font>
    <font>
      <b/>
      <sz val="10"/>
      <color rgb="FF000000"/>
      <name val="Calibri"/>
      <family val="2"/>
    </font>
    <font>
      <sz val="10"/>
      <color rgb="FF666666"/>
      <name val="Calibri"/>
      <family val="2"/>
    </font>
    <font>
      <i/>
      <sz val="10"/>
      <color rgb="FF7F6000"/>
      <name val="Calibri"/>
      <family val="2"/>
    </font>
    <font>
      <sz val="10"/>
      <color theme="0" tint="-0.499984740745262"/>
      <name val="Calibri"/>
      <family val="2"/>
      <scheme val="minor"/>
    </font>
    <font>
      <i/>
      <sz val="10"/>
      <color theme="0" tint="-0.499984740745262"/>
      <name val="Calibri"/>
      <family val="2"/>
      <scheme val="minor"/>
    </font>
    <font>
      <sz val="11"/>
      <color theme="0"/>
      <name val="Calibri"/>
      <family val="2"/>
      <scheme val="minor"/>
    </font>
    <font>
      <sz val="10"/>
      <color rgb="FF0000FF"/>
      <name val="Calibri"/>
      <family val="2"/>
    </font>
    <font>
      <sz val="11"/>
      <color theme="0" tint="-0.34998626667073579"/>
      <name val="Calibri"/>
      <family val="2"/>
      <scheme val="minor"/>
    </font>
    <font>
      <sz val="10"/>
      <color theme="0" tint="-0.34998626667073579"/>
      <name val="Calibri"/>
      <family val="2"/>
    </font>
    <font>
      <b/>
      <sz val="16"/>
      <color rgb="FFFFFFFF"/>
      <name val="Calibri"/>
      <family val="2"/>
    </font>
    <font>
      <sz val="10"/>
      <color theme="0" tint="-0.499984740745262"/>
      <name val="Calibri"/>
      <family val="2"/>
    </font>
    <font>
      <sz val="11"/>
      <color theme="0" tint="-0.499984740745262"/>
      <name val="Calibri"/>
      <family val="2"/>
      <scheme val="minor"/>
    </font>
    <font>
      <sz val="10"/>
      <color rgb="FF00B050"/>
      <name val="Calibri"/>
      <family val="2"/>
    </font>
    <font>
      <sz val="10"/>
      <color theme="9" tint="-0.249977111117893"/>
      <name val="Calibri"/>
      <family val="2"/>
    </font>
    <font>
      <sz val="10"/>
      <color rgb="FF0070C0"/>
      <name val="Calibri"/>
      <family val="2"/>
    </font>
    <font>
      <b/>
      <sz val="11"/>
      <color theme="1"/>
      <name val="Calibri"/>
      <family val="2"/>
      <scheme val="minor"/>
    </font>
    <font>
      <b/>
      <sz val="10"/>
      <color theme="0" tint="-0.499984740745262"/>
      <name val="Calibri"/>
      <family val="2"/>
      <scheme val="minor"/>
    </font>
    <font>
      <sz val="10"/>
      <color theme="1"/>
      <name val="Calibri"/>
      <family val="2"/>
      <scheme val="minor"/>
    </font>
    <font>
      <sz val="10"/>
      <color theme="0" tint="-0.34998626667073579"/>
      <name val="Calibri"/>
      <family val="2"/>
      <scheme val="minor"/>
    </font>
    <font>
      <b/>
      <sz val="10"/>
      <color theme="1"/>
      <name val="Calibri"/>
      <family val="2"/>
      <scheme val="minor"/>
    </font>
    <font>
      <b/>
      <sz val="10"/>
      <name val="Calibri"/>
      <family val="2"/>
      <scheme val="minor"/>
    </font>
    <font>
      <sz val="11"/>
      <color theme="1"/>
      <name val="Calibri"/>
      <family val="2"/>
    </font>
    <font>
      <sz val="9"/>
      <color theme="1"/>
      <name val="Segoe UI"/>
      <family val="2"/>
    </font>
    <font>
      <sz val="11"/>
      <color rgb="FF242424"/>
      <name val="Aptos Narrow"/>
      <charset val="1"/>
    </font>
  </fonts>
  <fills count="10">
    <fill>
      <patternFill patternType="none"/>
    </fill>
    <fill>
      <patternFill patternType="gray125"/>
    </fill>
    <fill>
      <patternFill patternType="solid">
        <fgColor rgb="FFFCE4D6"/>
      </patternFill>
    </fill>
    <fill>
      <patternFill patternType="solid">
        <fgColor rgb="FFFFF2CC"/>
      </patternFill>
    </fill>
    <fill>
      <patternFill patternType="solid">
        <fgColor rgb="FFD9E2F3"/>
      </patternFill>
    </fill>
    <fill>
      <patternFill patternType="solid">
        <fgColor rgb="FFDDEBF7"/>
      </patternFill>
    </fill>
    <fill>
      <patternFill patternType="solid">
        <fgColor theme="0"/>
        <bgColor indexed="64"/>
      </patternFill>
    </fill>
    <fill>
      <patternFill patternType="solid">
        <fgColor theme="3"/>
        <bgColor indexed="64"/>
      </patternFill>
    </fill>
    <fill>
      <patternFill patternType="solid">
        <fgColor rgb="FFFFFF00"/>
        <bgColor indexed="64"/>
      </patternFill>
    </fill>
    <fill>
      <patternFill patternType="solid">
        <fgColor rgb="FF80944C"/>
        <bgColor indexed="64"/>
      </patternFill>
    </fill>
  </fills>
  <borders count="3">
    <border>
      <left/>
      <right/>
      <top/>
      <bottom/>
      <diagonal/>
    </border>
    <border>
      <left/>
      <right/>
      <top/>
      <bottom style="thin">
        <color rgb="FFB7B7B7"/>
      </bottom>
      <diagonal/>
    </border>
    <border>
      <left/>
      <right/>
      <top/>
      <bottom style="thin">
        <color auto="1"/>
      </bottom>
      <diagonal/>
    </border>
  </borders>
  <cellStyleXfs count="1">
    <xf numFmtId="0" fontId="0" fillId="0" borderId="0"/>
  </cellStyleXfs>
  <cellXfs count="85">
    <xf numFmtId="0" fontId="0" fillId="0" borderId="0" xfId="0"/>
    <xf numFmtId="0" fontId="2" fillId="4" borderId="1" xfId="0" applyFont="1" applyFill="1" applyBorder="1" applyAlignment="1">
      <alignment horizontal="center"/>
    </xf>
    <xf numFmtId="164" fontId="7" fillId="3" borderId="1" xfId="0" applyNumberFormat="1" applyFont="1" applyFill="1" applyBorder="1" applyAlignment="1">
      <alignment horizontal="right"/>
    </xf>
    <xf numFmtId="0" fontId="9" fillId="0" borderId="0" xfId="0" applyFont="1" applyAlignment="1">
      <alignment horizontal="left" vertical="center" indent="1"/>
    </xf>
    <xf numFmtId="0" fontId="2" fillId="0" borderId="0" xfId="0" applyFont="1"/>
    <xf numFmtId="0" fontId="0" fillId="0" borderId="0" xfId="0" applyAlignment="1">
      <alignment wrapText="1"/>
    </xf>
    <xf numFmtId="0" fontId="11" fillId="0" borderId="0" xfId="0" applyFont="1"/>
    <xf numFmtId="0" fontId="0" fillId="0" borderId="1" xfId="0" applyBorder="1" applyAlignment="1">
      <alignment wrapText="1"/>
    </xf>
    <xf numFmtId="0" fontId="10" fillId="0" borderId="1" xfId="0" applyFont="1" applyBorder="1"/>
    <xf numFmtId="0" fontId="11" fillId="4" borderId="0" xfId="0" applyFont="1" applyFill="1" applyAlignment="1">
      <alignment horizontal="center"/>
    </xf>
    <xf numFmtId="0" fontId="14" fillId="0" borderId="0" xfId="0" applyFont="1"/>
    <xf numFmtId="0" fontId="0" fillId="7" borderId="0" xfId="0" applyFill="1"/>
    <xf numFmtId="0" fontId="4" fillId="0" borderId="0" xfId="0" applyFont="1" applyAlignment="1">
      <alignment horizontal="left"/>
    </xf>
    <xf numFmtId="0" fontId="5" fillId="0" borderId="0" xfId="0" applyFont="1" applyAlignment="1">
      <alignment horizontal="left"/>
    </xf>
    <xf numFmtId="0" fontId="14" fillId="6" borderId="0" xfId="0" applyFont="1" applyFill="1"/>
    <xf numFmtId="0" fontId="18" fillId="0" borderId="0" xfId="0" applyFont="1"/>
    <xf numFmtId="0" fontId="18" fillId="0" borderId="0" xfId="0" applyFont="1" applyAlignment="1">
      <alignment wrapText="1"/>
    </xf>
    <xf numFmtId="0" fontId="14" fillId="0" borderId="0" xfId="0" applyFont="1" applyAlignment="1">
      <alignment wrapText="1"/>
    </xf>
    <xf numFmtId="0" fontId="0" fillId="0" borderId="2" xfId="0" applyBorder="1" applyAlignment="1">
      <alignment wrapText="1"/>
    </xf>
    <xf numFmtId="0" fontId="0" fillId="0" borderId="2" xfId="0" applyBorder="1"/>
    <xf numFmtId="0" fontId="10" fillId="0" borderId="0" xfId="0" applyFont="1" applyAlignment="1">
      <alignment wrapText="1"/>
    </xf>
    <xf numFmtId="0" fontId="28" fillId="0" borderId="0" xfId="0" applyFont="1"/>
    <xf numFmtId="0" fontId="29" fillId="0" borderId="0" xfId="0" applyFont="1"/>
    <xf numFmtId="0" fontId="29" fillId="0" borderId="0" xfId="0" applyFont="1" applyAlignment="1">
      <alignment wrapText="1"/>
    </xf>
    <xf numFmtId="0" fontId="30" fillId="0" borderId="0" xfId="0" applyFont="1"/>
    <xf numFmtId="0" fontId="31" fillId="0" borderId="0" xfId="0" applyFont="1"/>
    <xf numFmtId="0" fontId="2" fillId="0" borderId="1" xfId="0" applyFont="1" applyBorder="1"/>
    <xf numFmtId="0" fontId="25" fillId="8" borderId="1" xfId="0" applyFont="1" applyFill="1" applyBorder="1"/>
    <xf numFmtId="0" fontId="4" fillId="0" borderId="1" xfId="0" applyFont="1" applyBorder="1"/>
    <xf numFmtId="0" fontId="5" fillId="0" borderId="1" xfId="0" applyFont="1" applyBorder="1"/>
    <xf numFmtId="0" fontId="23" fillId="0" borderId="1" xfId="0" applyFont="1" applyBorder="1"/>
    <xf numFmtId="0" fontId="24" fillId="0" borderId="1" xfId="0" applyFont="1" applyBorder="1"/>
    <xf numFmtId="0" fontId="7" fillId="3" borderId="1" xfId="0" applyFont="1" applyFill="1" applyBorder="1"/>
    <xf numFmtId="164" fontId="4" fillId="0" borderId="1" xfId="0" applyNumberFormat="1" applyFont="1" applyBorder="1"/>
    <xf numFmtId="0" fontId="14" fillId="0" borderId="1" xfId="0" applyFont="1" applyBorder="1" applyAlignment="1">
      <alignment wrapText="1"/>
    </xf>
    <xf numFmtId="0" fontId="4" fillId="0" borderId="1" xfId="0" applyFont="1" applyBorder="1" applyAlignment="1">
      <alignment horizontal="left"/>
    </xf>
    <xf numFmtId="0" fontId="5" fillId="0" borderId="1" xfId="0" applyFont="1" applyBorder="1" applyAlignment="1">
      <alignment horizontal="left"/>
    </xf>
    <xf numFmtId="165" fontId="7" fillId="3" borderId="1" xfId="0" applyNumberFormat="1" applyFont="1" applyFill="1" applyBorder="1" applyAlignment="1">
      <alignment horizontal="right"/>
    </xf>
    <xf numFmtId="166" fontId="7" fillId="3" borderId="1" xfId="0" applyNumberFormat="1" applyFont="1" applyFill="1" applyBorder="1" applyAlignment="1">
      <alignment horizontal="right"/>
    </xf>
    <xf numFmtId="167" fontId="7" fillId="3" borderId="1" xfId="0" applyNumberFormat="1" applyFont="1" applyFill="1" applyBorder="1" applyAlignment="1">
      <alignment horizontal="right"/>
    </xf>
    <xf numFmtId="1" fontId="7" fillId="3" borderId="1" xfId="0" applyNumberFormat="1" applyFont="1" applyFill="1" applyBorder="1" applyAlignment="1">
      <alignment horizontal="right"/>
    </xf>
    <xf numFmtId="165" fontId="17" fillId="0" borderId="1" xfId="0" applyNumberFormat="1" applyFont="1" applyBorder="1" applyAlignment="1">
      <alignment horizontal="right"/>
    </xf>
    <xf numFmtId="165" fontId="7" fillId="0" borderId="1" xfId="0" applyNumberFormat="1" applyFont="1" applyBorder="1" applyAlignment="1">
      <alignment horizontal="right"/>
    </xf>
    <xf numFmtId="0" fontId="7" fillId="3" borderId="1" xfId="0" applyFont="1" applyFill="1" applyBorder="1" applyAlignment="1">
      <alignment horizontal="right"/>
    </xf>
    <xf numFmtId="164" fontId="8" fillId="0" borderId="1" xfId="0" applyNumberFormat="1" applyFont="1" applyBorder="1" applyAlignment="1">
      <alignment horizontal="right"/>
    </xf>
    <xf numFmtId="0" fontId="5" fillId="0" borderId="1" xfId="0" applyFont="1" applyBorder="1" applyAlignment="1">
      <alignment wrapText="1"/>
    </xf>
    <xf numFmtId="166" fontId="4" fillId="0" borderId="1" xfId="0" applyNumberFormat="1" applyFont="1" applyBorder="1" applyAlignment="1">
      <alignment horizontal="right"/>
    </xf>
    <xf numFmtId="0" fontId="19" fillId="0" borderId="1" xfId="0" applyFont="1" applyBorder="1" applyAlignment="1">
      <alignment wrapText="1"/>
    </xf>
    <xf numFmtId="166" fontId="8" fillId="0" borderId="1" xfId="0" applyNumberFormat="1" applyFont="1" applyBorder="1" applyAlignment="1">
      <alignment horizontal="right"/>
    </xf>
    <xf numFmtId="1" fontId="8" fillId="0" borderId="1" xfId="0" applyNumberFormat="1" applyFont="1" applyBorder="1" applyAlignment="1">
      <alignment horizontal="right"/>
    </xf>
    <xf numFmtId="168" fontId="4" fillId="0" borderId="1" xfId="0" applyNumberFormat="1" applyFont="1" applyBorder="1" applyAlignment="1">
      <alignment horizontal="right"/>
    </xf>
    <xf numFmtId="0" fontId="10" fillId="0" borderId="1" xfId="0" applyFont="1" applyBorder="1" applyAlignment="1">
      <alignment horizontal="left"/>
    </xf>
    <xf numFmtId="0" fontId="12" fillId="0" borderId="1" xfId="0" applyFont="1" applyBorder="1" applyAlignment="1">
      <alignment wrapText="1"/>
    </xf>
    <xf numFmtId="0" fontId="19" fillId="0" borderId="1" xfId="0" applyFont="1" applyBorder="1"/>
    <xf numFmtId="165" fontId="8" fillId="0" borderId="1" xfId="0" applyNumberFormat="1" applyFont="1" applyBorder="1" applyAlignment="1">
      <alignment horizontal="right"/>
    </xf>
    <xf numFmtId="0" fontId="8" fillId="0" borderId="1" xfId="0" applyFont="1" applyBorder="1" applyAlignment="1">
      <alignment horizontal="right"/>
    </xf>
    <xf numFmtId="165" fontId="4" fillId="0" borderId="1" xfId="0" applyNumberFormat="1" applyFont="1" applyBorder="1" applyAlignment="1">
      <alignment horizontal="right"/>
    </xf>
    <xf numFmtId="167" fontId="8" fillId="0" borderId="1" xfId="0" applyNumberFormat="1" applyFont="1" applyBorder="1" applyAlignment="1">
      <alignment horizontal="right"/>
    </xf>
    <xf numFmtId="167" fontId="4" fillId="0" borderId="1" xfId="0" applyNumberFormat="1" applyFont="1" applyBorder="1" applyAlignment="1">
      <alignment horizontal="right"/>
    </xf>
    <xf numFmtId="0" fontId="2" fillId="0" borderId="1" xfId="0" applyFont="1" applyBorder="1" applyAlignment="1">
      <alignment horizontal="left"/>
    </xf>
    <xf numFmtId="166" fontId="4" fillId="5" borderId="1" xfId="0" applyNumberFormat="1" applyFont="1" applyFill="1" applyBorder="1" applyAlignment="1">
      <alignment horizontal="right"/>
    </xf>
    <xf numFmtId="164" fontId="4" fillId="0" borderId="1" xfId="0" applyNumberFormat="1" applyFont="1" applyBorder="1" applyAlignment="1">
      <alignment horizontal="right"/>
    </xf>
    <xf numFmtId="164" fontId="7" fillId="3" borderId="1" xfId="0" applyNumberFormat="1" applyFont="1" applyFill="1" applyBorder="1"/>
    <xf numFmtId="166" fontId="4" fillId="0" borderId="1" xfId="0" applyNumberFormat="1" applyFont="1" applyBorder="1"/>
    <xf numFmtId="0" fontId="33" fillId="0" borderId="0" xfId="0" applyFont="1" applyAlignment="1">
      <alignment vertical="center"/>
    </xf>
    <xf numFmtId="0" fontId="32" fillId="0" borderId="0" xfId="0" applyFont="1" applyAlignment="1">
      <alignment vertical="center" wrapText="1"/>
    </xf>
    <xf numFmtId="0" fontId="0" fillId="0" borderId="0" xfId="0" applyAlignment="1">
      <alignment vertical="center" wrapText="1"/>
    </xf>
    <xf numFmtId="0" fontId="0" fillId="0" borderId="0" xfId="0" applyAlignment="1">
      <alignment vertical="top" wrapText="1"/>
    </xf>
    <xf numFmtId="0" fontId="11" fillId="0" borderId="1" xfId="0" applyFont="1" applyBorder="1"/>
    <xf numFmtId="0" fontId="34" fillId="0" borderId="0" xfId="0" applyFont="1"/>
    <xf numFmtId="0" fontId="3" fillId="9" borderId="1" xfId="0" applyFont="1" applyFill="1" applyBorder="1" applyAlignment="1">
      <alignment horizontal="left"/>
    </xf>
    <xf numFmtId="0" fontId="16" fillId="9" borderId="1" xfId="0" applyFont="1" applyFill="1" applyBorder="1"/>
    <xf numFmtId="0" fontId="16" fillId="9" borderId="0" xfId="0" applyFont="1" applyFill="1"/>
    <xf numFmtId="0" fontId="3" fillId="9" borderId="1" xfId="0" applyFont="1" applyFill="1" applyBorder="1" applyAlignment="1">
      <alignment horizontal="left"/>
    </xf>
    <xf numFmtId="0" fontId="0" fillId="9" borderId="1" xfId="0" applyFill="1" applyBorder="1"/>
    <xf numFmtId="0" fontId="1" fillId="9" borderId="0" xfId="0" applyFont="1" applyFill="1" applyAlignment="1">
      <alignment horizontal="left" vertical="center"/>
    </xf>
    <xf numFmtId="0" fontId="0" fillId="9" borderId="0" xfId="0" applyFill="1"/>
    <xf numFmtId="0" fontId="13" fillId="2" borderId="1" xfId="0" applyFont="1" applyFill="1" applyBorder="1" applyAlignment="1">
      <alignment vertical="top" wrapText="1"/>
    </xf>
    <xf numFmtId="0" fontId="0" fillId="0" borderId="0" xfId="0"/>
    <xf numFmtId="0" fontId="0" fillId="0" borderId="1" xfId="0" applyBorder="1"/>
    <xf numFmtId="0" fontId="6" fillId="2" borderId="1" xfId="0" applyFont="1" applyFill="1" applyBorder="1" applyAlignment="1">
      <alignment vertical="top" wrapText="1"/>
    </xf>
    <xf numFmtId="0" fontId="20" fillId="9" borderId="0" xfId="0" applyFont="1" applyFill="1" applyAlignment="1">
      <alignment horizontal="left" vertical="center"/>
    </xf>
    <xf numFmtId="0" fontId="21" fillId="0" borderId="1" xfId="0" applyFont="1" applyBorder="1" applyAlignment="1">
      <alignment vertical="top" wrapText="1"/>
    </xf>
    <xf numFmtId="0" fontId="22" fillId="0" borderId="0" xfId="0" applyFont="1"/>
    <xf numFmtId="0" fontId="22" fillId="0" borderId="1" xfId="0" applyFont="1" applyBorder="1"/>
  </cellXfs>
  <cellStyles count="1">
    <cellStyle name="Normal" xfId="0" builtinId="0"/>
  </cellStyles>
  <dxfs count="0"/>
  <tableStyles count="0" defaultTableStyle="TableStyleMedium2" defaultPivotStyle="PivotStyleLight16"/>
  <colors>
    <mruColors>
      <color rgb="FF80944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xdr:row>
      <xdr:rowOff>0</xdr:rowOff>
    </xdr:from>
    <xdr:to>
      <xdr:col>3</xdr:col>
      <xdr:colOff>2381250</xdr:colOff>
      <xdr:row>2</xdr:row>
      <xdr:rowOff>514350</xdr:rowOff>
    </xdr:to>
    <xdr:pic>
      <xdr:nvPicPr>
        <xdr:cNvPr id="2" name="Picture 1" descr="A green and yellow text on a black background&#10;&#10;AI-generated content may be incorrect.">
          <a:extLst>
            <a:ext uri="{FF2B5EF4-FFF2-40B4-BE49-F238E27FC236}">
              <a16:creationId xmlns:a16="http://schemas.microsoft.com/office/drawing/2014/main" id="{C607C7ED-CFE2-6466-D9B2-EA823AF4761C}"/>
            </a:ext>
          </a:extLst>
        </xdr:cNvPr>
        <xdr:cNvPicPr>
          <a:picLocks noChangeAspect="1"/>
        </xdr:cNvPicPr>
      </xdr:nvPicPr>
      <xdr:blipFill>
        <a:blip xmlns:r="http://schemas.openxmlformats.org/officeDocument/2006/relationships" r:embed="rId1"/>
        <a:stretch>
          <a:fillRect/>
        </a:stretch>
      </xdr:blipFill>
      <xdr:spPr>
        <a:xfrm>
          <a:off x="8401050" y="457200"/>
          <a:ext cx="2381250" cy="514350"/>
        </a:xfrm>
        <a:prstGeom prst="rect">
          <a:avLst/>
        </a:prstGeom>
      </xdr:spPr>
    </xdr:pic>
    <xdr:clientData/>
  </xdr:twoCellAnchor>
  <xdr:twoCellAnchor editAs="oneCell">
    <xdr:from>
      <xdr:col>0</xdr:col>
      <xdr:colOff>581025</xdr:colOff>
      <xdr:row>54</xdr:row>
      <xdr:rowOff>0</xdr:rowOff>
    </xdr:from>
    <xdr:to>
      <xdr:col>0</xdr:col>
      <xdr:colOff>1419225</xdr:colOff>
      <xdr:row>56</xdr:row>
      <xdr:rowOff>152400</xdr:rowOff>
    </xdr:to>
    <xdr:pic>
      <xdr:nvPicPr>
        <xdr:cNvPr id="3" name="Picture 2" descr="eu flag">
          <a:extLst>
            <a:ext uri="{FF2B5EF4-FFF2-40B4-BE49-F238E27FC236}">
              <a16:creationId xmlns:a16="http://schemas.microsoft.com/office/drawing/2014/main" id="{7014AB2F-7F0C-3731-DD7F-35D883BB11B2}"/>
            </a:ext>
            <a:ext uri="{147F2762-F138-4A5C-976F-8EAC2B608ADB}">
              <a16:predDERef xmlns:a16="http://schemas.microsoft.com/office/drawing/2014/main" pred="{C607C7ED-CFE2-6466-D9B2-EA823AF4761C}"/>
            </a:ext>
          </a:extLst>
        </xdr:cNvPr>
        <xdr:cNvPicPr>
          <a:picLocks noChangeAspect="1"/>
        </xdr:cNvPicPr>
      </xdr:nvPicPr>
      <xdr:blipFill>
        <a:blip xmlns:r="http://schemas.openxmlformats.org/officeDocument/2006/relationships" r:embed="rId2"/>
        <a:stretch>
          <a:fillRect/>
        </a:stretch>
      </xdr:blipFill>
      <xdr:spPr>
        <a:xfrm>
          <a:off x="581025" y="14944725"/>
          <a:ext cx="838200" cy="533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428625</xdr:colOff>
      <xdr:row>49</xdr:row>
      <xdr:rowOff>114300</xdr:rowOff>
    </xdr:to>
    <xdr:sp macro="" textlink="">
      <xdr:nvSpPr>
        <xdr:cNvPr id="1040" name="Text Box 16" hidden="1">
          <a:extLst>
            <a:ext uri="{FF2B5EF4-FFF2-40B4-BE49-F238E27FC236}">
              <a16:creationId xmlns:a16="http://schemas.microsoft.com/office/drawing/2014/main" id="{9613C89F-601C-933F-88BD-4706C9E24C96}"/>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82550</xdr:colOff>
      <xdr:row>51</xdr:row>
      <xdr:rowOff>50800</xdr:rowOff>
    </xdr:to>
    <xdr:sp macro="" textlink="">
      <xdr:nvSpPr>
        <xdr:cNvPr id="2" name="AutoShape 16">
          <a:extLst>
            <a:ext uri="{FF2B5EF4-FFF2-40B4-BE49-F238E27FC236}">
              <a16:creationId xmlns:a16="http://schemas.microsoft.com/office/drawing/2014/main" id="{02C7375A-8B38-4641-AE9B-C21C5A96447C}"/>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495300</xdr:colOff>
      <xdr:row>49</xdr:row>
      <xdr:rowOff>114300</xdr:rowOff>
    </xdr:to>
    <xdr:sp macro="" textlink="">
      <xdr:nvSpPr>
        <xdr:cNvPr id="2063" name="Text Box 15" hidden="1">
          <a:extLst>
            <a:ext uri="{FF2B5EF4-FFF2-40B4-BE49-F238E27FC236}">
              <a16:creationId xmlns:a16="http://schemas.microsoft.com/office/drawing/2014/main" id="{8FDDBDF9-825F-2E57-CB5E-82FDE1FF5E7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152400</xdr:colOff>
      <xdr:row>51</xdr:row>
      <xdr:rowOff>50800</xdr:rowOff>
    </xdr:to>
    <xdr:sp macro="" textlink="">
      <xdr:nvSpPr>
        <xdr:cNvPr id="2" name="AutoShape 15">
          <a:extLst>
            <a:ext uri="{FF2B5EF4-FFF2-40B4-BE49-F238E27FC236}">
              <a16:creationId xmlns:a16="http://schemas.microsoft.com/office/drawing/2014/main" id="{BB56ACBF-58B8-3F05-8429-2404D1DE5226}"/>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152400</xdr:colOff>
      <xdr:row>49</xdr:row>
      <xdr:rowOff>114300</xdr:rowOff>
    </xdr:to>
    <xdr:sp macro="" textlink="">
      <xdr:nvSpPr>
        <xdr:cNvPr id="3075" name="Text Box 3" hidden="1">
          <a:extLst>
            <a:ext uri="{FF2B5EF4-FFF2-40B4-BE49-F238E27FC236}">
              <a16:creationId xmlns:a16="http://schemas.microsoft.com/office/drawing/2014/main" id="{59C4C30A-6C70-00D7-3C37-37026AA4B4B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431800</xdr:colOff>
      <xdr:row>51</xdr:row>
      <xdr:rowOff>50800</xdr:rowOff>
    </xdr:to>
    <xdr:sp macro="" textlink="">
      <xdr:nvSpPr>
        <xdr:cNvPr id="2" name="AutoShape 3">
          <a:extLst>
            <a:ext uri="{FF2B5EF4-FFF2-40B4-BE49-F238E27FC236}">
              <a16:creationId xmlns:a16="http://schemas.microsoft.com/office/drawing/2014/main" id="{61AA0AA6-8F5E-4CCD-37CA-5F8DB7238152}"/>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6"/>
  <sheetViews>
    <sheetView showGridLines="0" tabSelected="1" workbookViewId="0">
      <selection activeCell="B8" sqref="B8"/>
    </sheetView>
  </sheetViews>
  <sheetFormatPr baseColWidth="10" defaultColWidth="8.88671875" defaultRowHeight="14.4" x14ac:dyDescent="0.3"/>
  <cols>
    <col min="1" max="1" width="24" customWidth="1"/>
    <col min="2" max="2" width="78" customWidth="1"/>
    <col min="3" max="3" width="24" customWidth="1"/>
    <col min="4" max="4" width="67" customWidth="1"/>
    <col min="5" max="6" width="24" customWidth="1"/>
  </cols>
  <sheetData>
    <row r="1" spans="1:6" ht="21" x14ac:dyDescent="0.3">
      <c r="A1" s="75" t="s">
        <v>0</v>
      </c>
      <c r="B1" s="76"/>
      <c r="C1" s="76"/>
      <c r="D1" s="76"/>
      <c r="E1" s="76"/>
      <c r="F1" s="76"/>
    </row>
    <row r="3" spans="1:6" ht="43.2" x14ac:dyDescent="0.3">
      <c r="A3" s="26" t="s">
        <v>1</v>
      </c>
      <c r="B3" s="7" t="s">
        <v>2</v>
      </c>
    </row>
    <row r="4" spans="1:6" x14ac:dyDescent="0.3">
      <c r="A4" s="4"/>
      <c r="B4" s="5"/>
    </row>
    <row r="5" spans="1:6" ht="43.2" x14ac:dyDescent="0.3">
      <c r="A5" s="6" t="s">
        <v>3</v>
      </c>
      <c r="B5" s="5" t="s">
        <v>4</v>
      </c>
    </row>
    <row r="7" spans="1:6" x14ac:dyDescent="0.3">
      <c r="A7" s="26" t="s">
        <v>5</v>
      </c>
      <c r="B7" s="65"/>
    </row>
    <row r="8" spans="1:6" ht="72" x14ac:dyDescent="0.3">
      <c r="A8" s="4"/>
      <c r="B8" s="66" t="s">
        <v>342</v>
      </c>
    </row>
    <row r="9" spans="1:6" x14ac:dyDescent="0.3">
      <c r="A9" s="4"/>
    </row>
    <row r="10" spans="1:6" ht="72" x14ac:dyDescent="0.3">
      <c r="B10" s="7" t="s">
        <v>6</v>
      </c>
      <c r="D10" s="67" t="s">
        <v>7</v>
      </c>
    </row>
    <row r="11" spans="1:6" x14ac:dyDescent="0.3">
      <c r="B11" s="7"/>
    </row>
    <row r="12" spans="1:6" ht="28.8" x14ac:dyDescent="0.3">
      <c r="B12" s="7" t="s">
        <v>8</v>
      </c>
    </row>
    <row r="13" spans="1:6" x14ac:dyDescent="0.3">
      <c r="B13" s="7"/>
    </row>
    <row r="14" spans="1:6" ht="57.6" x14ac:dyDescent="0.3">
      <c r="B14" s="7" t="s">
        <v>9</v>
      </c>
    </row>
    <row r="15" spans="1:6" x14ac:dyDescent="0.3">
      <c r="B15" s="7"/>
    </row>
    <row r="16" spans="1:6" ht="28.8" x14ac:dyDescent="0.3">
      <c r="B16" s="7" t="s">
        <v>10</v>
      </c>
    </row>
    <row r="17" spans="1:4" x14ac:dyDescent="0.3">
      <c r="B17" s="7"/>
    </row>
    <row r="18" spans="1:4" ht="43.2" x14ac:dyDescent="0.3">
      <c r="B18" s="7" t="s">
        <v>11</v>
      </c>
    </row>
    <row r="21" spans="1:4" x14ac:dyDescent="0.3">
      <c r="A21" s="73" t="s">
        <v>12</v>
      </c>
      <c r="B21" s="74"/>
      <c r="C21" s="74"/>
    </row>
    <row r="22" spans="1:4" x14ac:dyDescent="0.3">
      <c r="A22" s="27" t="s">
        <v>13</v>
      </c>
      <c r="B22" s="27" t="s">
        <v>14</v>
      </c>
    </row>
    <row r="23" spans="1:4" x14ac:dyDescent="0.3">
      <c r="A23" s="28" t="s">
        <v>15</v>
      </c>
      <c r="B23" s="29" t="s">
        <v>16</v>
      </c>
    </row>
    <row r="24" spans="1:4" x14ac:dyDescent="0.3">
      <c r="A24" s="30" t="s">
        <v>17</v>
      </c>
      <c r="B24" s="30" t="s">
        <v>18</v>
      </c>
    </row>
    <row r="25" spans="1:4" x14ac:dyDescent="0.3">
      <c r="A25" s="31" t="s">
        <v>19</v>
      </c>
      <c r="B25" s="31" t="s">
        <v>20</v>
      </c>
    </row>
    <row r="29" spans="1:4" x14ac:dyDescent="0.3">
      <c r="A29" s="73" t="s">
        <v>21</v>
      </c>
      <c r="B29" s="74"/>
      <c r="C29" s="74"/>
      <c r="D29" s="74"/>
    </row>
    <row r="30" spans="1:4" x14ac:dyDescent="0.3">
      <c r="A30" s="68" t="s">
        <v>22</v>
      </c>
      <c r="B30" s="7" t="s">
        <v>23</v>
      </c>
    </row>
    <row r="31" spans="1:4" x14ac:dyDescent="0.3">
      <c r="A31" s="26" t="s">
        <v>24</v>
      </c>
      <c r="B31" s="7" t="s">
        <v>25</v>
      </c>
    </row>
    <row r="32" spans="1:4" x14ac:dyDescent="0.3">
      <c r="A32" s="68" t="s">
        <v>26</v>
      </c>
      <c r="B32" s="7" t="s">
        <v>27</v>
      </c>
    </row>
    <row r="33" spans="1:2" ht="28.8" x14ac:dyDescent="0.3">
      <c r="A33" s="26" t="s">
        <v>28</v>
      </c>
      <c r="B33" s="7" t="s">
        <v>29</v>
      </c>
    </row>
    <row r="34" spans="1:2" x14ac:dyDescent="0.3">
      <c r="A34" s="26" t="s">
        <v>30</v>
      </c>
      <c r="B34" s="7" t="s">
        <v>31</v>
      </c>
    </row>
    <row r="35" spans="1:2" x14ac:dyDescent="0.3">
      <c r="A35" s="68" t="s">
        <v>32</v>
      </c>
      <c r="B35" s="7" t="s">
        <v>33</v>
      </c>
    </row>
    <row r="36" spans="1:2" ht="28.8" x14ac:dyDescent="0.3">
      <c r="A36" s="68" t="s">
        <v>34</v>
      </c>
      <c r="B36" s="7" t="s">
        <v>35</v>
      </c>
    </row>
    <row r="37" spans="1:2" x14ac:dyDescent="0.3">
      <c r="A37" s="26" t="s">
        <v>36</v>
      </c>
      <c r="B37" s="7" t="s">
        <v>37</v>
      </c>
    </row>
    <row r="38" spans="1:2" x14ac:dyDescent="0.3">
      <c r="A38" s="4"/>
      <c r="B38" s="5"/>
    </row>
    <row r="39" spans="1:2" x14ac:dyDescent="0.3">
      <c r="A39" s="4"/>
      <c r="B39" s="5"/>
    </row>
    <row r="40" spans="1:2" x14ac:dyDescent="0.3">
      <c r="A40" s="6" t="s">
        <v>38</v>
      </c>
      <c r="B40" s="64" t="s">
        <v>39</v>
      </c>
    </row>
    <row r="41" spans="1:2" x14ac:dyDescent="0.3">
      <c r="A41" s="4"/>
      <c r="B41" s="64" t="s">
        <v>40</v>
      </c>
    </row>
    <row r="42" spans="1:2" x14ac:dyDescent="0.3">
      <c r="A42" s="4"/>
      <c r="B42" s="64" t="s">
        <v>41</v>
      </c>
    </row>
    <row r="43" spans="1:2" x14ac:dyDescent="0.3">
      <c r="A43" s="4"/>
      <c r="B43" s="64" t="s">
        <v>42</v>
      </c>
    </row>
    <row r="44" spans="1:2" x14ac:dyDescent="0.3">
      <c r="A44" s="4"/>
      <c r="B44" s="64" t="s">
        <v>43</v>
      </c>
    </row>
    <row r="45" spans="1:2" x14ac:dyDescent="0.3">
      <c r="A45" s="4"/>
      <c r="B45" s="64" t="s">
        <v>44</v>
      </c>
    </row>
    <row r="46" spans="1:2" x14ac:dyDescent="0.3">
      <c r="A46" s="4"/>
      <c r="B46" s="64" t="s">
        <v>45</v>
      </c>
    </row>
    <row r="47" spans="1:2" x14ac:dyDescent="0.3">
      <c r="A47" s="4"/>
      <c r="B47" s="64" t="s">
        <v>46</v>
      </c>
    </row>
    <row r="48" spans="1:2" x14ac:dyDescent="0.3">
      <c r="A48" s="4"/>
      <c r="B48" s="64" t="s">
        <v>47</v>
      </c>
    </row>
    <row r="49" spans="1:6" x14ac:dyDescent="0.3">
      <c r="A49" s="4"/>
      <c r="B49" s="64" t="s">
        <v>48</v>
      </c>
    </row>
    <row r="51" spans="1:6" x14ac:dyDescent="0.3">
      <c r="A51" s="77" t="s">
        <v>49</v>
      </c>
      <c r="B51" s="78"/>
      <c r="C51" s="78"/>
      <c r="D51" s="78"/>
      <c r="E51" s="78"/>
      <c r="F51" s="78"/>
    </row>
    <row r="52" spans="1:6" x14ac:dyDescent="0.3">
      <c r="A52" s="79"/>
      <c r="B52" s="79"/>
      <c r="C52" s="79"/>
      <c r="D52" s="79"/>
      <c r="E52" s="79"/>
      <c r="F52" s="79"/>
    </row>
    <row r="56" spans="1:6" x14ac:dyDescent="0.3">
      <c r="B56" s="69" t="s">
        <v>50</v>
      </c>
    </row>
  </sheetData>
  <mergeCells count="4">
    <mergeCell ref="A21:C21"/>
    <mergeCell ref="A1:F1"/>
    <mergeCell ref="A29:D29"/>
    <mergeCell ref="A51:F5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7"/>
  <sheetViews>
    <sheetView showGridLines="0" workbookViewId="0">
      <selection activeCell="C20" sqref="C20"/>
    </sheetView>
  </sheetViews>
  <sheetFormatPr baseColWidth="10" defaultColWidth="8.88671875" defaultRowHeight="14.4" x14ac:dyDescent="0.3"/>
  <cols>
    <col min="1" max="1" width="34" customWidth="1"/>
    <col min="2" max="6" width="16" customWidth="1"/>
    <col min="7" max="7" width="22" customWidth="1"/>
    <col min="10" max="10" width="55.6640625" customWidth="1"/>
  </cols>
  <sheetData>
    <row r="1" spans="1:10" ht="21" x14ac:dyDescent="0.3">
      <c r="A1" s="75" t="s">
        <v>22</v>
      </c>
      <c r="B1" s="76"/>
      <c r="C1" s="76"/>
      <c r="D1" s="76"/>
      <c r="E1" s="76"/>
      <c r="F1" s="76"/>
      <c r="G1" s="76"/>
    </row>
    <row r="3" spans="1:10" x14ac:dyDescent="0.3">
      <c r="A3" s="28" t="s">
        <v>51</v>
      </c>
      <c r="B3" s="32">
        <v>1</v>
      </c>
    </row>
    <row r="4" spans="1:10" x14ac:dyDescent="0.3">
      <c r="A4" s="28" t="s">
        <v>52</v>
      </c>
      <c r="B4" s="28" t="str">
        <f>CHOOSE(B3,"Conservative","Base","Favourable","Farmer Estimate")</f>
        <v>Conservative</v>
      </c>
    </row>
    <row r="6" spans="1:10" x14ac:dyDescent="0.3">
      <c r="A6" s="1" t="s">
        <v>53</v>
      </c>
      <c r="B6" s="1" t="s">
        <v>54</v>
      </c>
      <c r="C6" s="1" t="s">
        <v>55</v>
      </c>
      <c r="D6" s="1" t="s">
        <v>56</v>
      </c>
      <c r="E6" s="1" t="s">
        <v>57</v>
      </c>
      <c r="F6" s="1" t="s">
        <v>58</v>
      </c>
      <c r="G6" s="1" t="s">
        <v>59</v>
      </c>
      <c r="J6" s="9" t="s">
        <v>60</v>
      </c>
    </row>
    <row r="7" spans="1:10" x14ac:dyDescent="0.3">
      <c r="A7" s="28" t="s">
        <v>61</v>
      </c>
      <c r="B7" s="2">
        <v>-0.1</v>
      </c>
      <c r="C7" s="2">
        <v>0</v>
      </c>
      <c r="D7" s="2">
        <v>0.08</v>
      </c>
      <c r="E7" s="2">
        <v>-0.1</v>
      </c>
      <c r="F7" s="33">
        <f t="shared" ref="F7:F17" si="0">CHOOSE($B$3,B7,C7,D7,E7)</f>
        <v>-0.1</v>
      </c>
      <c r="G7" s="29" t="s">
        <v>62</v>
      </c>
      <c r="J7" s="10" t="s">
        <v>63</v>
      </c>
    </row>
    <row r="8" spans="1:10" x14ac:dyDescent="0.3">
      <c r="A8" s="28" t="s">
        <v>64</v>
      </c>
      <c r="B8" s="2">
        <v>-0.02</v>
      </c>
      <c r="C8" s="2">
        <v>0</v>
      </c>
      <c r="D8" s="2">
        <v>0.03</v>
      </c>
      <c r="E8" s="2">
        <v>-0.05</v>
      </c>
      <c r="F8" s="33">
        <f t="shared" si="0"/>
        <v>-0.02</v>
      </c>
      <c r="G8" s="29" t="s">
        <v>65</v>
      </c>
      <c r="J8" s="10" t="s">
        <v>66</v>
      </c>
    </row>
    <row r="9" spans="1:10" x14ac:dyDescent="0.3">
      <c r="A9" s="28" t="s">
        <v>67</v>
      </c>
      <c r="B9" s="2">
        <v>0.05</v>
      </c>
      <c r="C9" s="2">
        <v>0.1</v>
      </c>
      <c r="D9" s="2">
        <v>0.2</v>
      </c>
      <c r="E9" s="2">
        <v>0</v>
      </c>
      <c r="F9" s="33">
        <f t="shared" si="0"/>
        <v>0.05</v>
      </c>
      <c r="G9" s="29" t="s">
        <v>68</v>
      </c>
      <c r="J9" s="10" t="s">
        <v>69</v>
      </c>
    </row>
    <row r="10" spans="1:10" x14ac:dyDescent="0.3">
      <c r="A10" s="28" t="s">
        <v>70</v>
      </c>
      <c r="B10" s="2">
        <v>0.2</v>
      </c>
      <c r="C10" s="2">
        <v>0.35</v>
      </c>
      <c r="D10" s="2">
        <v>0.5</v>
      </c>
      <c r="E10" s="2">
        <v>0.25</v>
      </c>
      <c r="F10" s="33">
        <f t="shared" si="0"/>
        <v>0.2</v>
      </c>
      <c r="G10" s="29" t="s">
        <v>71</v>
      </c>
      <c r="J10" s="10" t="s">
        <v>72</v>
      </c>
    </row>
    <row r="11" spans="1:10" x14ac:dyDescent="0.3">
      <c r="A11" s="8" t="s">
        <v>73</v>
      </c>
      <c r="B11" s="2">
        <v>-0.15</v>
      </c>
      <c r="C11" s="2">
        <v>0</v>
      </c>
      <c r="D11" s="2">
        <v>0.15</v>
      </c>
      <c r="E11" s="2">
        <v>0</v>
      </c>
      <c r="F11" s="33">
        <f t="shared" si="0"/>
        <v>-0.15</v>
      </c>
      <c r="G11" s="29" t="s">
        <v>74</v>
      </c>
      <c r="J11" s="10" t="s">
        <v>75</v>
      </c>
    </row>
    <row r="12" spans="1:10" x14ac:dyDescent="0.3">
      <c r="A12" s="28" t="s">
        <v>76</v>
      </c>
      <c r="B12" s="2">
        <v>0.05</v>
      </c>
      <c r="C12" s="2">
        <v>0.02</v>
      </c>
      <c r="D12" s="2">
        <v>0</v>
      </c>
      <c r="E12" s="2">
        <v>0.05</v>
      </c>
      <c r="F12" s="33">
        <f t="shared" si="0"/>
        <v>0.05</v>
      </c>
      <c r="G12" s="29" t="s">
        <v>77</v>
      </c>
      <c r="J12" s="10" t="s">
        <v>78</v>
      </c>
    </row>
    <row r="13" spans="1:10" x14ac:dyDescent="0.3">
      <c r="A13" s="28" t="s">
        <v>79</v>
      </c>
      <c r="B13" s="2">
        <v>0.7</v>
      </c>
      <c r="C13" s="2">
        <v>0.9</v>
      </c>
      <c r="D13" s="2">
        <v>1</v>
      </c>
      <c r="E13" s="2">
        <v>0.8</v>
      </c>
      <c r="F13" s="33">
        <f t="shared" si="0"/>
        <v>0.7</v>
      </c>
      <c r="G13" s="29" t="s">
        <v>80</v>
      </c>
      <c r="J13" s="10" t="s">
        <v>81</v>
      </c>
    </row>
    <row r="14" spans="1:10" x14ac:dyDescent="0.3">
      <c r="A14" s="28" t="s">
        <v>82</v>
      </c>
      <c r="B14" s="2">
        <v>0.1</v>
      </c>
      <c r="C14" s="2">
        <v>0.2</v>
      </c>
      <c r="D14" s="2">
        <v>0.3</v>
      </c>
      <c r="E14" s="2">
        <v>0.1</v>
      </c>
      <c r="F14" s="33">
        <f t="shared" si="0"/>
        <v>0.1</v>
      </c>
      <c r="G14" s="29" t="s">
        <v>83</v>
      </c>
      <c r="J14" s="10" t="s">
        <v>84</v>
      </c>
    </row>
    <row r="15" spans="1:10" x14ac:dyDescent="0.3">
      <c r="A15" s="8" t="s">
        <v>85</v>
      </c>
      <c r="B15" s="2">
        <v>0.25</v>
      </c>
      <c r="C15" s="2">
        <v>0.1</v>
      </c>
      <c r="D15" s="2">
        <v>0</v>
      </c>
      <c r="E15" s="2">
        <v>0.15</v>
      </c>
      <c r="F15" s="33">
        <v>0.15</v>
      </c>
      <c r="G15" s="29" t="s">
        <v>86</v>
      </c>
      <c r="J15" s="10" t="s">
        <v>87</v>
      </c>
    </row>
    <row r="16" spans="1:10" x14ac:dyDescent="0.3">
      <c r="A16" s="8" t="s">
        <v>88</v>
      </c>
      <c r="B16" s="2">
        <v>0.15</v>
      </c>
      <c r="C16" s="2">
        <v>0.05</v>
      </c>
      <c r="D16" s="2">
        <v>0</v>
      </c>
      <c r="E16" s="2">
        <v>0.1</v>
      </c>
      <c r="F16" s="33">
        <f t="shared" si="0"/>
        <v>0.15</v>
      </c>
      <c r="G16" s="29" t="s">
        <v>89</v>
      </c>
      <c r="J16" s="10" t="s">
        <v>90</v>
      </c>
    </row>
    <row r="17" spans="1:10" x14ac:dyDescent="0.3">
      <c r="A17" s="8" t="s">
        <v>91</v>
      </c>
      <c r="B17" s="2">
        <v>6.5000000000000002E-2</v>
      </c>
      <c r="C17" s="2">
        <v>5.5E-2</v>
      </c>
      <c r="D17" s="2">
        <v>4.4999999999999998E-2</v>
      </c>
      <c r="E17" s="2">
        <v>0.05</v>
      </c>
      <c r="F17" s="33">
        <f t="shared" si="0"/>
        <v>6.5000000000000002E-2</v>
      </c>
      <c r="G17" s="29" t="s">
        <v>92</v>
      </c>
      <c r="J17" s="10" t="s">
        <v>93</v>
      </c>
    </row>
    <row r="18" spans="1:10" x14ac:dyDescent="0.3">
      <c r="J18" s="10"/>
    </row>
    <row r="19" spans="1:10" x14ac:dyDescent="0.3">
      <c r="J19" s="10"/>
    </row>
    <row r="20" spans="1:10" ht="124.2" x14ac:dyDescent="0.3">
      <c r="A20" s="20" t="s">
        <v>94</v>
      </c>
      <c r="G20" s="28" t="s">
        <v>95</v>
      </c>
      <c r="J20" s="34" t="s">
        <v>96</v>
      </c>
    </row>
    <row r="27" spans="1:10" x14ac:dyDescent="0.3">
      <c r="B27" s="3"/>
    </row>
  </sheetData>
  <mergeCells count="1">
    <mergeCell ref="A1:G1"/>
  </mergeCells>
  <dataValidations count="1">
    <dataValidation type="whole" prompt="Choose 1 Conservative, 2 Base, or 3 Favourable." sqref="B3" xr:uid="{00000000-0002-0000-0100-000000000000}">
      <formula1>1</formula1>
      <formula2>3</formula2>
    </dataValidation>
  </dataValidations>
  <printOptions horizontalCentered="1"/>
  <pageMargins left="0.7" right="0.7" top="0.75" bottom="0.75" header="0.3" footer="0.3"/>
  <pageSetup paperSize="8"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3"/>
  <sheetViews>
    <sheetView showGridLines="0" workbookViewId="0">
      <selection activeCell="D23" sqref="D23"/>
    </sheetView>
  </sheetViews>
  <sheetFormatPr baseColWidth="10" defaultColWidth="8.88671875" defaultRowHeight="14.4" x14ac:dyDescent="0.3"/>
  <cols>
    <col min="1" max="1" width="38" customWidth="1"/>
    <col min="2" max="2" width="17" customWidth="1"/>
    <col min="3" max="3" width="16" customWidth="1"/>
    <col min="4" max="4" width="77.33203125" customWidth="1"/>
    <col min="5" max="5" width="57" customWidth="1"/>
  </cols>
  <sheetData>
    <row r="1" spans="1:6" ht="21" x14ac:dyDescent="0.3">
      <c r="A1" s="75" t="s">
        <v>97</v>
      </c>
      <c r="B1" s="76"/>
      <c r="C1" s="76"/>
      <c r="D1" s="76"/>
    </row>
    <row r="3" spans="1:6" x14ac:dyDescent="0.3">
      <c r="A3" s="70" t="s">
        <v>98</v>
      </c>
      <c r="B3" s="71" t="s">
        <v>59</v>
      </c>
      <c r="C3" s="71" t="s">
        <v>99</v>
      </c>
      <c r="D3" s="71" t="s">
        <v>100</v>
      </c>
      <c r="E3" s="72" t="s">
        <v>101</v>
      </c>
      <c r="F3" s="11"/>
    </row>
    <row r="4" spans="1:6" x14ac:dyDescent="0.3">
      <c r="A4" s="35" t="s">
        <v>102</v>
      </c>
      <c r="B4" s="36" t="s">
        <v>103</v>
      </c>
      <c r="C4" s="37">
        <v>32</v>
      </c>
      <c r="D4" s="10" t="s">
        <v>104</v>
      </c>
    </row>
    <row r="5" spans="1:6" x14ac:dyDescent="0.3">
      <c r="A5" s="35" t="s">
        <v>105</v>
      </c>
      <c r="B5" s="36" t="s">
        <v>106</v>
      </c>
      <c r="C5" s="2">
        <v>0.8</v>
      </c>
      <c r="D5" s="10" t="s">
        <v>107</v>
      </c>
    </row>
    <row r="6" spans="1:6" x14ac:dyDescent="0.3">
      <c r="A6" s="35" t="s">
        <v>108</v>
      </c>
      <c r="B6" s="36" t="s">
        <v>109</v>
      </c>
      <c r="C6" s="38">
        <v>1000</v>
      </c>
      <c r="D6" s="10" t="s">
        <v>110</v>
      </c>
    </row>
    <row r="7" spans="1:6" x14ac:dyDescent="0.3">
      <c r="A7" s="35" t="s">
        <v>111</v>
      </c>
      <c r="B7" s="36" t="s">
        <v>109</v>
      </c>
      <c r="C7" s="38">
        <v>200</v>
      </c>
      <c r="D7" s="10" t="s">
        <v>112</v>
      </c>
    </row>
    <row r="8" spans="1:6" x14ac:dyDescent="0.3">
      <c r="A8" s="35" t="s">
        <v>113</v>
      </c>
      <c r="B8" s="36" t="s">
        <v>109</v>
      </c>
      <c r="C8" s="38">
        <v>100</v>
      </c>
      <c r="D8" s="10" t="s">
        <v>114</v>
      </c>
    </row>
    <row r="9" spans="1:6" x14ac:dyDescent="0.3">
      <c r="A9" s="35" t="s">
        <v>115</v>
      </c>
      <c r="B9" s="36" t="s">
        <v>116</v>
      </c>
      <c r="C9" s="37">
        <v>15000</v>
      </c>
      <c r="D9" s="10" t="s">
        <v>117</v>
      </c>
    </row>
    <row r="10" spans="1:6" x14ac:dyDescent="0.3">
      <c r="A10" s="51" t="s">
        <v>118</v>
      </c>
      <c r="B10" s="36" t="s">
        <v>119</v>
      </c>
      <c r="C10" s="39">
        <v>0.18</v>
      </c>
      <c r="D10" s="10" t="s">
        <v>120</v>
      </c>
    </row>
    <row r="11" spans="1:6" x14ac:dyDescent="0.3">
      <c r="A11" s="35" t="s">
        <v>121</v>
      </c>
      <c r="B11" s="36" t="s">
        <v>119</v>
      </c>
      <c r="C11" s="39">
        <v>0.08</v>
      </c>
      <c r="D11" s="10" t="s">
        <v>122</v>
      </c>
      <c r="E11" t="s">
        <v>123</v>
      </c>
    </row>
    <row r="12" spans="1:6" x14ac:dyDescent="0.3">
      <c r="A12" s="35" t="s">
        <v>124</v>
      </c>
      <c r="B12" s="36" t="s">
        <v>125</v>
      </c>
      <c r="C12" s="38">
        <v>0</v>
      </c>
      <c r="D12" s="10" t="s">
        <v>126</v>
      </c>
    </row>
    <row r="13" spans="1:6" x14ac:dyDescent="0.3">
      <c r="A13" s="35" t="s">
        <v>127</v>
      </c>
      <c r="B13" s="36" t="s">
        <v>125</v>
      </c>
      <c r="C13" s="38">
        <v>0</v>
      </c>
      <c r="D13" s="10" t="s">
        <v>128</v>
      </c>
    </row>
    <row r="14" spans="1:6" x14ac:dyDescent="0.3">
      <c r="A14" s="35" t="s">
        <v>129</v>
      </c>
      <c r="B14" s="36" t="s">
        <v>130</v>
      </c>
      <c r="C14" s="40">
        <v>25</v>
      </c>
      <c r="D14" s="10" t="s">
        <v>131</v>
      </c>
    </row>
    <row r="15" spans="1:6" x14ac:dyDescent="0.3">
      <c r="A15" s="35" t="s">
        <v>132</v>
      </c>
      <c r="B15" s="36" t="s">
        <v>106</v>
      </c>
      <c r="C15" s="2">
        <v>0.04</v>
      </c>
      <c r="D15" s="10" t="s">
        <v>133</v>
      </c>
    </row>
    <row r="16" spans="1:6" x14ac:dyDescent="0.3">
      <c r="A16" s="35" t="s">
        <v>134</v>
      </c>
      <c r="B16" s="36" t="s">
        <v>135</v>
      </c>
      <c r="C16" s="41">
        <f>1000*C4*(100%-C5)</f>
        <v>6399.9999999999982</v>
      </c>
      <c r="D16" s="10" t="s">
        <v>136</v>
      </c>
    </row>
    <row r="17" spans="1:4" x14ac:dyDescent="0.3">
      <c r="A17" s="35" t="s">
        <v>137</v>
      </c>
      <c r="B17" s="36" t="s">
        <v>138</v>
      </c>
      <c r="C17" s="42">
        <v>900</v>
      </c>
      <c r="D17" s="10" t="s">
        <v>139</v>
      </c>
    </row>
    <row r="18" spans="1:4" x14ac:dyDescent="0.3">
      <c r="A18" s="35" t="s">
        <v>140</v>
      </c>
      <c r="B18" s="36" t="s">
        <v>106</v>
      </c>
      <c r="C18" s="2">
        <v>5.0000000000000001E-3</v>
      </c>
      <c r="D18" s="14" t="s">
        <v>141</v>
      </c>
    </row>
    <row r="19" spans="1:4" x14ac:dyDescent="0.3">
      <c r="A19" s="12"/>
      <c r="B19" s="13"/>
      <c r="C19" s="43"/>
      <c r="D19" s="10"/>
    </row>
    <row r="20" spans="1:4" x14ac:dyDescent="0.3">
      <c r="A20" s="77" t="s">
        <v>142</v>
      </c>
      <c r="B20" s="78"/>
      <c r="C20" s="78"/>
      <c r="D20" s="78"/>
    </row>
    <row r="21" spans="1:4" x14ac:dyDescent="0.3">
      <c r="A21" s="79"/>
      <c r="B21" s="79"/>
      <c r="C21" s="79"/>
      <c r="D21" s="79"/>
    </row>
    <row r="23" spans="1:4" ht="158.4" x14ac:dyDescent="0.3">
      <c r="A23" s="5" t="s">
        <v>143</v>
      </c>
      <c r="D23" s="67" t="s">
        <v>144</v>
      </c>
    </row>
  </sheetData>
  <mergeCells count="2">
    <mergeCell ref="A20:D21"/>
    <mergeCell ref="A1:D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5"/>
  <sheetViews>
    <sheetView showGridLines="0" workbookViewId="0">
      <selection activeCell="I3" sqref="I3:L3"/>
    </sheetView>
  </sheetViews>
  <sheetFormatPr baseColWidth="10" defaultColWidth="8.88671875" defaultRowHeight="14.4" x14ac:dyDescent="0.3"/>
  <cols>
    <col min="1" max="1" width="40" customWidth="1"/>
    <col min="2" max="2" width="18" customWidth="1"/>
    <col min="3" max="3" width="16" customWidth="1"/>
    <col min="4" max="4" width="67.88671875" customWidth="1"/>
    <col min="5" max="5" width="95" customWidth="1"/>
  </cols>
  <sheetData>
    <row r="1" spans="1:12" ht="21" x14ac:dyDescent="0.3">
      <c r="A1" s="75" t="s">
        <v>145</v>
      </c>
      <c r="B1" s="76"/>
      <c r="C1" s="76"/>
      <c r="D1" s="76"/>
    </row>
    <row r="3" spans="1:12" x14ac:dyDescent="0.3">
      <c r="A3" s="73" t="s">
        <v>146</v>
      </c>
      <c r="B3" s="74"/>
      <c r="C3" s="74"/>
      <c r="D3" s="74"/>
      <c r="E3" s="73" t="s">
        <v>101</v>
      </c>
      <c r="F3" s="74"/>
      <c r="G3" s="74"/>
      <c r="H3" s="74"/>
      <c r="I3" s="73"/>
      <c r="J3" s="74"/>
      <c r="K3" s="74"/>
      <c r="L3" s="74"/>
    </row>
    <row r="4" spans="1:12" x14ac:dyDescent="0.3">
      <c r="A4" s="35" t="s">
        <v>147</v>
      </c>
      <c r="B4" s="36" t="s">
        <v>148</v>
      </c>
      <c r="C4" s="38">
        <v>1000</v>
      </c>
      <c r="D4" s="10" t="s">
        <v>149</v>
      </c>
      <c r="E4" s="16" t="s">
        <v>150</v>
      </c>
    </row>
    <row r="5" spans="1:12" x14ac:dyDescent="0.3">
      <c r="A5" s="35"/>
      <c r="B5" s="36"/>
      <c r="C5" s="38"/>
      <c r="D5" s="10"/>
      <c r="E5" s="5"/>
    </row>
    <row r="6" spans="1:12" x14ac:dyDescent="0.3">
      <c r="A6" s="35"/>
      <c r="B6" s="36"/>
      <c r="C6" s="38"/>
      <c r="D6" s="10"/>
      <c r="E6" s="5"/>
    </row>
    <row r="7" spans="1:12" x14ac:dyDescent="0.3">
      <c r="A7" s="35"/>
      <c r="B7" s="36"/>
      <c r="C7" s="38"/>
      <c r="D7" s="10"/>
      <c r="E7" s="5"/>
    </row>
    <row r="8" spans="1:12" x14ac:dyDescent="0.3">
      <c r="A8" s="35"/>
      <c r="B8" s="36"/>
      <c r="C8" s="38"/>
      <c r="D8" s="10"/>
      <c r="E8" s="5"/>
    </row>
    <row r="9" spans="1:12" x14ac:dyDescent="0.3">
      <c r="A9" s="35" t="s">
        <v>151</v>
      </c>
      <c r="B9" s="36" t="s">
        <v>152</v>
      </c>
      <c r="C9" s="38">
        <v>35000</v>
      </c>
      <c r="D9" s="15" t="s">
        <v>153</v>
      </c>
      <c r="E9" s="16" t="s">
        <v>154</v>
      </c>
    </row>
    <row r="10" spans="1:12" x14ac:dyDescent="0.3">
      <c r="A10" s="35" t="s">
        <v>155</v>
      </c>
      <c r="B10" s="36" t="s">
        <v>152</v>
      </c>
      <c r="C10" s="38">
        <v>100000</v>
      </c>
      <c r="D10" s="15" t="s">
        <v>156</v>
      </c>
      <c r="E10" s="16" t="s">
        <v>157</v>
      </c>
    </row>
    <row r="11" spans="1:12" x14ac:dyDescent="0.3">
      <c r="A11" s="35" t="s">
        <v>158</v>
      </c>
      <c r="B11" s="36" t="s">
        <v>106</v>
      </c>
      <c r="C11" s="2">
        <v>0.05</v>
      </c>
      <c r="D11" s="15" t="s">
        <v>159</v>
      </c>
      <c r="E11" s="5"/>
    </row>
    <row r="12" spans="1:12" x14ac:dyDescent="0.3">
      <c r="E12" s="5"/>
    </row>
    <row r="13" spans="1:12" ht="28.8" x14ac:dyDescent="0.3">
      <c r="A13" s="35" t="s">
        <v>160</v>
      </c>
      <c r="B13" s="36" t="s">
        <v>106</v>
      </c>
      <c r="C13" s="44">
        <f>'Scenario Manager'!F15</f>
        <v>0.15</v>
      </c>
      <c r="D13" s="45" t="s">
        <v>161</v>
      </c>
      <c r="E13" s="16" t="s">
        <v>87</v>
      </c>
    </row>
    <row r="14" spans="1:12" x14ac:dyDescent="0.3">
      <c r="A14" s="35" t="s">
        <v>162</v>
      </c>
      <c r="B14" s="36" t="s">
        <v>152</v>
      </c>
      <c r="C14" s="46">
        <f>Inputs!C16*(C4+C5+C6+C7+C8)+C9+C10</f>
        <v>6534999.9999999981</v>
      </c>
      <c r="D14" s="22" t="s">
        <v>163</v>
      </c>
      <c r="E14" s="5"/>
    </row>
    <row r="15" spans="1:12" x14ac:dyDescent="0.3">
      <c r="A15" s="35" t="s">
        <v>164</v>
      </c>
      <c r="B15" s="36" t="s">
        <v>152</v>
      </c>
      <c r="C15" s="46">
        <f>C10*C13</f>
        <v>15000</v>
      </c>
      <c r="D15" s="22" t="s">
        <v>165</v>
      </c>
      <c r="E15" s="5"/>
    </row>
    <row r="16" spans="1:12" x14ac:dyDescent="0.3">
      <c r="A16" s="35" t="s">
        <v>166</v>
      </c>
      <c r="B16" s="36" t="s">
        <v>152</v>
      </c>
      <c r="C16" s="46">
        <f>C14+C15</f>
        <v>6549999.9999999981</v>
      </c>
      <c r="D16" s="22" t="s">
        <v>167</v>
      </c>
      <c r="E16" s="5"/>
    </row>
    <row r="17" spans="1:8" x14ac:dyDescent="0.3">
      <c r="A17" s="35" t="s">
        <v>168</v>
      </c>
      <c r="B17" s="36" t="s">
        <v>152</v>
      </c>
      <c r="C17" s="46">
        <f>C16*C11</f>
        <v>327499.99999999994</v>
      </c>
      <c r="D17" s="22" t="s">
        <v>169</v>
      </c>
      <c r="E17" s="5"/>
    </row>
    <row r="18" spans="1:8" x14ac:dyDescent="0.3">
      <c r="A18" s="35" t="s">
        <v>170</v>
      </c>
      <c r="B18" s="36" t="s">
        <v>152</v>
      </c>
      <c r="C18" s="46">
        <f>C16+C17</f>
        <v>6877499.9999999981</v>
      </c>
      <c r="D18" s="22" t="s">
        <v>171</v>
      </c>
      <c r="E18" s="5"/>
    </row>
    <row r="19" spans="1:8" x14ac:dyDescent="0.3">
      <c r="D19" s="21"/>
      <c r="E19" s="5"/>
    </row>
    <row r="20" spans="1:8" x14ac:dyDescent="0.3">
      <c r="A20" s="73" t="s">
        <v>172</v>
      </c>
      <c r="B20" s="74"/>
      <c r="C20" s="74"/>
      <c r="D20" s="74"/>
      <c r="E20" s="5"/>
    </row>
    <row r="21" spans="1:8" x14ac:dyDescent="0.3">
      <c r="A21" s="35" t="s">
        <v>173</v>
      </c>
      <c r="B21" s="36" t="s">
        <v>174</v>
      </c>
      <c r="C21" s="38">
        <v>20</v>
      </c>
      <c r="D21" s="23" t="s">
        <v>175</v>
      </c>
      <c r="E21" s="5"/>
    </row>
    <row r="22" spans="1:8" x14ac:dyDescent="0.3">
      <c r="A22" s="35" t="s">
        <v>176</v>
      </c>
      <c r="B22" s="36" t="s">
        <v>125</v>
      </c>
      <c r="C22" s="38">
        <v>6500</v>
      </c>
      <c r="D22" s="23" t="s">
        <v>177</v>
      </c>
      <c r="E22" s="5"/>
    </row>
    <row r="23" spans="1:8" ht="27.6" x14ac:dyDescent="0.3">
      <c r="A23" s="35" t="s">
        <v>178</v>
      </c>
      <c r="B23" s="36" t="s">
        <v>125</v>
      </c>
      <c r="C23" s="38">
        <v>3000</v>
      </c>
      <c r="D23" s="23" t="s">
        <v>179</v>
      </c>
      <c r="E23" s="5"/>
    </row>
    <row r="24" spans="1:8" x14ac:dyDescent="0.3">
      <c r="A24" s="35" t="s">
        <v>180</v>
      </c>
      <c r="B24" s="36" t="s">
        <v>181</v>
      </c>
      <c r="C24" s="38">
        <v>0</v>
      </c>
      <c r="D24" s="23" t="s">
        <v>182</v>
      </c>
      <c r="E24" s="5"/>
    </row>
    <row r="25" spans="1:8" ht="27.6" x14ac:dyDescent="0.3">
      <c r="A25" s="35" t="s">
        <v>183</v>
      </c>
      <c r="B25" s="36" t="s">
        <v>181</v>
      </c>
      <c r="C25" s="38">
        <v>40</v>
      </c>
      <c r="D25" s="23" t="s">
        <v>184</v>
      </c>
      <c r="E25" s="5"/>
    </row>
    <row r="26" spans="1:8" ht="27.6" x14ac:dyDescent="0.3">
      <c r="A26" s="35" t="s">
        <v>185</v>
      </c>
      <c r="B26" s="36" t="s">
        <v>125</v>
      </c>
      <c r="C26" s="38">
        <v>5000</v>
      </c>
      <c r="D26" s="23" t="s">
        <v>186</v>
      </c>
      <c r="E26" s="5"/>
    </row>
    <row r="27" spans="1:8" x14ac:dyDescent="0.3">
      <c r="A27" s="35" t="s">
        <v>187</v>
      </c>
      <c r="B27" s="36" t="s">
        <v>188</v>
      </c>
      <c r="C27" s="46">
        <f>Inputs!C16*C21+C22+C23+Inputs!C4*(C24+C25)+C26</f>
        <v>143779.99999999997</v>
      </c>
      <c r="D27" s="23" t="s">
        <v>189</v>
      </c>
      <c r="E27" s="5"/>
    </row>
    <row r="28" spans="1:8" ht="41.4" x14ac:dyDescent="0.3">
      <c r="A28" s="35" t="s">
        <v>190</v>
      </c>
      <c r="B28" s="36" t="s">
        <v>106</v>
      </c>
      <c r="C28" s="44">
        <f>'Scenario Manager'!F16</f>
        <v>0.15</v>
      </c>
      <c r="D28" s="47" t="s">
        <v>191</v>
      </c>
      <c r="E28" s="17"/>
    </row>
    <row r="29" spans="1:8" ht="27.6" x14ac:dyDescent="0.3">
      <c r="A29" s="35" t="s">
        <v>192</v>
      </c>
      <c r="B29" s="36" t="s">
        <v>188</v>
      </c>
      <c r="C29" s="46">
        <f>C27*(1+C28)</f>
        <v>165346.99999999994</v>
      </c>
      <c r="D29" s="23" t="s">
        <v>193</v>
      </c>
      <c r="E29" s="5"/>
    </row>
    <row r="30" spans="1:8" x14ac:dyDescent="0.3">
      <c r="E30" s="5"/>
    </row>
    <row r="31" spans="1:8" x14ac:dyDescent="0.3">
      <c r="A31" s="80" t="s">
        <v>194</v>
      </c>
      <c r="B31" s="78"/>
      <c r="C31" s="78"/>
      <c r="D31" s="78"/>
      <c r="E31" s="5"/>
    </row>
    <row r="32" spans="1:8" x14ac:dyDescent="0.3">
      <c r="A32" s="79"/>
      <c r="B32" s="79"/>
      <c r="C32" s="79"/>
      <c r="D32" s="79"/>
      <c r="E32" s="18"/>
      <c r="F32" s="19"/>
      <c r="G32" s="19"/>
      <c r="H32" s="19"/>
    </row>
    <row r="33" spans="4:5" x14ac:dyDescent="0.3">
      <c r="E33" s="5"/>
    </row>
    <row r="35" spans="4:5" x14ac:dyDescent="0.3">
      <c r="D35" t="s">
        <v>123</v>
      </c>
    </row>
  </sheetData>
  <mergeCells count="6">
    <mergeCell ref="I3:L3"/>
    <mergeCell ref="A1:D1"/>
    <mergeCell ref="A20:D20"/>
    <mergeCell ref="A31:D32"/>
    <mergeCell ref="A3:D3"/>
    <mergeCell ref="E3:H3"/>
  </mergeCells>
  <pageMargins left="0.7" right="0.7" top="0.75" bottom="0.75" header="0.3" footer="0.3"/>
  <ignoredErrors>
    <ignoredError sqref="C17" formula="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3"/>
  <sheetViews>
    <sheetView showGridLines="0" workbookViewId="0">
      <selection sqref="A1:D1"/>
    </sheetView>
  </sheetViews>
  <sheetFormatPr baseColWidth="10" defaultColWidth="8.88671875" defaultRowHeight="14.4" x14ac:dyDescent="0.3"/>
  <cols>
    <col min="1" max="1" width="36" customWidth="1"/>
    <col min="2" max="2" width="18" customWidth="1"/>
    <col min="3" max="3" width="16" customWidth="1"/>
    <col min="4" max="4" width="64.5546875" customWidth="1"/>
  </cols>
  <sheetData>
    <row r="1" spans="1:4" ht="21" x14ac:dyDescent="0.3">
      <c r="A1" s="81" t="s">
        <v>195</v>
      </c>
      <c r="B1" s="76"/>
      <c r="C1" s="76"/>
      <c r="D1" s="76"/>
    </row>
    <row r="3" spans="1:4" x14ac:dyDescent="0.3">
      <c r="D3" s="5"/>
    </row>
    <row r="4" spans="1:4" x14ac:dyDescent="0.3">
      <c r="A4" s="35" t="s">
        <v>170</v>
      </c>
      <c r="B4" s="36" t="s">
        <v>152</v>
      </c>
      <c r="C4" s="48">
        <f>'Capex Opex'!C18</f>
        <v>6877499.9999999981</v>
      </c>
      <c r="D4" s="17" t="s">
        <v>196</v>
      </c>
    </row>
    <row r="5" spans="1:4" x14ac:dyDescent="0.3">
      <c r="A5" s="35" t="s">
        <v>197</v>
      </c>
      <c r="B5" s="36" t="s">
        <v>106</v>
      </c>
      <c r="C5" s="44">
        <f>'Scenario Manager'!F14</f>
        <v>0.1</v>
      </c>
      <c r="D5" s="17" t="s">
        <v>196</v>
      </c>
    </row>
    <row r="6" spans="1:4" x14ac:dyDescent="0.3">
      <c r="A6" s="35" t="s">
        <v>198</v>
      </c>
      <c r="B6" s="36" t="s">
        <v>152</v>
      </c>
      <c r="C6" s="46">
        <f>C4*C5</f>
        <v>687749.99999999988</v>
      </c>
      <c r="D6" s="17" t="s">
        <v>199</v>
      </c>
    </row>
    <row r="7" spans="1:4" x14ac:dyDescent="0.3">
      <c r="A7" s="35" t="s">
        <v>200</v>
      </c>
      <c r="B7" s="36" t="s">
        <v>152</v>
      </c>
      <c r="C7" s="46">
        <f>C4-C6</f>
        <v>6189749.9999999981</v>
      </c>
      <c r="D7" s="17" t="s">
        <v>201</v>
      </c>
    </row>
    <row r="8" spans="1:4" ht="41.4" x14ac:dyDescent="0.3">
      <c r="A8" s="35" t="s">
        <v>132</v>
      </c>
      <c r="B8" s="36" t="s">
        <v>106</v>
      </c>
      <c r="C8" s="44">
        <v>7.0000000000000007E-2</v>
      </c>
      <c r="D8" s="17" t="s">
        <v>202</v>
      </c>
    </row>
    <row r="9" spans="1:4" x14ac:dyDescent="0.3">
      <c r="A9" s="35" t="s">
        <v>203</v>
      </c>
      <c r="B9" s="36" t="s">
        <v>130</v>
      </c>
      <c r="C9" s="49">
        <f>Inputs!C14</f>
        <v>25</v>
      </c>
      <c r="D9" s="17" t="s">
        <v>204</v>
      </c>
    </row>
    <row r="10" spans="1:4" ht="41.4" x14ac:dyDescent="0.3">
      <c r="A10" s="35" t="s">
        <v>205</v>
      </c>
      <c r="B10" s="36" t="s">
        <v>206</v>
      </c>
      <c r="C10" s="50">
        <f>IF(C8=0,1/C9,C8/(1-(1+C8)^-C9))</f>
        <v>8.5810517220665627E-2</v>
      </c>
      <c r="D10" s="17" t="s">
        <v>207</v>
      </c>
    </row>
    <row r="11" spans="1:4" ht="41.4" x14ac:dyDescent="0.3">
      <c r="A11" s="51" t="s">
        <v>208</v>
      </c>
      <c r="B11" s="36" t="s">
        <v>188</v>
      </c>
      <c r="C11" s="46">
        <f>C7*C10</f>
        <v>531145.64896661486</v>
      </c>
      <c r="D11" s="17" t="s">
        <v>209</v>
      </c>
    </row>
    <row r="14" spans="1:4" x14ac:dyDescent="0.3">
      <c r="A14" s="73" t="s">
        <v>210</v>
      </c>
      <c r="B14" s="74"/>
      <c r="C14" s="74"/>
      <c r="D14" s="74"/>
    </row>
    <row r="15" spans="1:4" x14ac:dyDescent="0.3">
      <c r="A15" s="35" t="s">
        <v>211</v>
      </c>
      <c r="B15" s="36" t="s">
        <v>106</v>
      </c>
      <c r="C15" s="2">
        <v>0.5</v>
      </c>
      <c r="D15" s="10" t="s">
        <v>212</v>
      </c>
    </row>
    <row r="16" spans="1:4" x14ac:dyDescent="0.3">
      <c r="A16" s="35" t="s">
        <v>213</v>
      </c>
      <c r="B16" s="36" t="s">
        <v>130</v>
      </c>
      <c r="C16" s="40">
        <v>25</v>
      </c>
      <c r="D16" s="10" t="s">
        <v>214</v>
      </c>
    </row>
    <row r="17" spans="1:8" x14ac:dyDescent="0.3">
      <c r="A17" s="35" t="s">
        <v>215</v>
      </c>
      <c r="B17" s="36" t="s">
        <v>106</v>
      </c>
      <c r="C17" s="44">
        <f>'Scenario Manager'!F17</f>
        <v>6.5000000000000002E-2</v>
      </c>
      <c r="D17" s="52" t="s">
        <v>216</v>
      </c>
      <c r="E17" s="53"/>
      <c r="F17" s="15"/>
      <c r="G17" s="15"/>
      <c r="H17" s="15"/>
    </row>
    <row r="18" spans="1:8" ht="27.6" x14ac:dyDescent="0.3">
      <c r="A18" s="35" t="s">
        <v>217</v>
      </c>
      <c r="B18" s="36" t="s">
        <v>152</v>
      </c>
      <c r="C18" s="46">
        <f>C7*C15</f>
        <v>3094874.9999999991</v>
      </c>
      <c r="D18" s="52" t="s">
        <v>218</v>
      </c>
    </row>
    <row r="19" spans="1:8" x14ac:dyDescent="0.3">
      <c r="A19" s="35" t="s">
        <v>219</v>
      </c>
      <c r="B19" s="36" t="s">
        <v>188</v>
      </c>
      <c r="C19" s="46">
        <f>IF(C17=0,C18/C16,C18*C17/(1-(1+C17)^-C16))</f>
        <v>253722.43626979794</v>
      </c>
      <c r="D19" s="52" t="s">
        <v>220</v>
      </c>
    </row>
    <row r="20" spans="1:8" x14ac:dyDescent="0.3">
      <c r="A20" s="35" t="s">
        <v>221</v>
      </c>
      <c r="B20" s="36" t="s">
        <v>152</v>
      </c>
      <c r="C20" s="46">
        <f>C7-C18</f>
        <v>3094874.9999999991</v>
      </c>
      <c r="D20" s="52" t="s">
        <v>222</v>
      </c>
    </row>
    <row r="22" spans="1:8" x14ac:dyDescent="0.3">
      <c r="A22" s="80" t="s">
        <v>223</v>
      </c>
      <c r="B22" s="78"/>
      <c r="C22" s="78"/>
      <c r="D22" s="78"/>
    </row>
    <row r="23" spans="1:8" x14ac:dyDescent="0.3">
      <c r="A23" s="79"/>
      <c r="B23" s="79"/>
      <c r="C23" s="79"/>
      <c r="D23" s="79"/>
    </row>
  </sheetData>
  <mergeCells count="3">
    <mergeCell ref="A1:D1"/>
    <mergeCell ref="A22:D23"/>
    <mergeCell ref="A14:D1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6"/>
  <sheetViews>
    <sheetView showGridLines="0" workbookViewId="0">
      <selection sqref="A1:D1"/>
    </sheetView>
  </sheetViews>
  <sheetFormatPr baseColWidth="10" defaultColWidth="8.88671875" defaultRowHeight="14.4" x14ac:dyDescent="0.3"/>
  <cols>
    <col min="1" max="1" width="40" customWidth="1"/>
    <col min="2" max="2" width="18" customWidth="1"/>
    <col min="3" max="3" width="16" customWidth="1"/>
    <col min="4" max="4" width="34" customWidth="1"/>
  </cols>
  <sheetData>
    <row r="1" spans="1:11" ht="21" x14ac:dyDescent="0.3">
      <c r="A1" s="75" t="s">
        <v>224</v>
      </c>
      <c r="B1" s="76"/>
      <c r="C1" s="76"/>
      <c r="D1" s="76"/>
    </row>
    <row r="4" spans="1:11" x14ac:dyDescent="0.3">
      <c r="A4" s="35" t="s">
        <v>225</v>
      </c>
      <c r="B4" s="36" t="s">
        <v>103</v>
      </c>
      <c r="C4" s="54">
        <f>Inputs!C4</f>
        <v>32</v>
      </c>
      <c r="D4" s="10" t="s">
        <v>226</v>
      </c>
    </row>
    <row r="5" spans="1:11" x14ac:dyDescent="0.3">
      <c r="A5" s="35" t="s">
        <v>227</v>
      </c>
      <c r="B5" s="36" t="s">
        <v>188</v>
      </c>
      <c r="C5" s="46">
        <f>Inputs!C4*Inputs!C6</f>
        <v>32000</v>
      </c>
      <c r="D5" s="10" t="s">
        <v>228</v>
      </c>
    </row>
    <row r="6" spans="1:11" x14ac:dyDescent="0.3">
      <c r="A6" s="35" t="s">
        <v>229</v>
      </c>
      <c r="B6" s="36" t="s">
        <v>188</v>
      </c>
      <c r="C6" s="46">
        <f>Inputs!C4*Inputs!C7</f>
        <v>6400</v>
      </c>
      <c r="D6" s="10" t="s">
        <v>230</v>
      </c>
    </row>
    <row r="7" spans="1:11" x14ac:dyDescent="0.3">
      <c r="A7" s="35" t="s">
        <v>231</v>
      </c>
      <c r="B7" s="36" t="s">
        <v>188</v>
      </c>
      <c r="C7" s="46">
        <f>Inputs!C4*Inputs!C8</f>
        <v>3200</v>
      </c>
      <c r="D7" s="10" t="s">
        <v>232</v>
      </c>
    </row>
    <row r="8" spans="1:11" x14ac:dyDescent="0.3">
      <c r="A8" s="51" t="s">
        <v>233</v>
      </c>
      <c r="B8" s="36" t="s">
        <v>188</v>
      </c>
      <c r="C8" s="46">
        <f>Inputs!C9*Inputs!C10</f>
        <v>2700</v>
      </c>
      <c r="D8" s="10" t="s">
        <v>234</v>
      </c>
    </row>
    <row r="9" spans="1:11" x14ac:dyDescent="0.3">
      <c r="A9" s="51" t="s">
        <v>235</v>
      </c>
      <c r="B9" s="36" t="s">
        <v>188</v>
      </c>
      <c r="C9" s="46">
        <f>C5+C6-C7-C8</f>
        <v>32500</v>
      </c>
      <c r="D9" s="10" t="s">
        <v>236</v>
      </c>
    </row>
    <row r="11" spans="1:11" x14ac:dyDescent="0.3">
      <c r="A11" s="80" t="s">
        <v>237</v>
      </c>
      <c r="B11" s="78"/>
      <c r="C11" s="78"/>
      <c r="D11" s="78"/>
    </row>
    <row r="12" spans="1:11" x14ac:dyDescent="0.3">
      <c r="A12" s="79"/>
      <c r="B12" s="79"/>
      <c r="C12" s="79"/>
      <c r="D12" s="79"/>
    </row>
    <row r="15" spans="1:11" x14ac:dyDescent="0.3">
      <c r="K15" s="35"/>
    </row>
    <row r="16" spans="1:11" x14ac:dyDescent="0.3">
      <c r="K16" s="35"/>
    </row>
  </sheetData>
  <mergeCells count="2">
    <mergeCell ref="A1:D1"/>
    <mergeCell ref="A11:D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2"/>
  <sheetViews>
    <sheetView showGridLines="0" workbookViewId="0">
      <selection activeCell="A38" sqref="A38:D38"/>
    </sheetView>
  </sheetViews>
  <sheetFormatPr baseColWidth="10" defaultColWidth="8.88671875" defaultRowHeight="14.4" x14ac:dyDescent="0.3"/>
  <cols>
    <col min="1" max="1" width="42" customWidth="1"/>
    <col min="2" max="2" width="18" customWidth="1"/>
    <col min="3" max="3" width="16" customWidth="1"/>
    <col min="4" max="4" width="34" customWidth="1"/>
  </cols>
  <sheetData>
    <row r="1" spans="1:4" ht="21" x14ac:dyDescent="0.3">
      <c r="A1" s="75" t="s">
        <v>238</v>
      </c>
      <c r="B1" s="76"/>
      <c r="C1" s="76"/>
      <c r="D1" s="76"/>
    </row>
    <row r="3" spans="1:4" x14ac:dyDescent="0.3">
      <c r="A3" s="35" t="s">
        <v>52</v>
      </c>
      <c r="C3" s="55" t="str">
        <f>'Scenario Manager'!B4</f>
        <v>Conservative</v>
      </c>
    </row>
    <row r="5" spans="1:4" x14ac:dyDescent="0.3">
      <c r="A5" s="73" t="s">
        <v>239</v>
      </c>
      <c r="B5" s="74"/>
      <c r="C5" s="74"/>
      <c r="D5" s="74"/>
    </row>
    <row r="6" spans="1:4" x14ac:dyDescent="0.3">
      <c r="A6" s="35" t="s">
        <v>227</v>
      </c>
      <c r="B6" s="36" t="s">
        <v>188</v>
      </c>
      <c r="C6" s="48">
        <f>Baseline!C5</f>
        <v>32000</v>
      </c>
      <c r="D6" s="10" t="s">
        <v>240</v>
      </c>
    </row>
    <row r="7" spans="1:4" x14ac:dyDescent="0.3">
      <c r="A7" s="35" t="s">
        <v>241</v>
      </c>
      <c r="B7" s="36" t="s">
        <v>106</v>
      </c>
      <c r="C7" s="44">
        <f>Inputs!C5</f>
        <v>0.8</v>
      </c>
      <c r="D7" s="10" t="s">
        <v>107</v>
      </c>
    </row>
    <row r="8" spans="1:4" x14ac:dyDescent="0.3">
      <c r="A8" s="35" t="s">
        <v>242</v>
      </c>
      <c r="B8" s="36" t="s">
        <v>106</v>
      </c>
      <c r="C8" s="44">
        <f>'Scenario Manager'!F7</f>
        <v>-0.1</v>
      </c>
      <c r="D8" s="10" t="s">
        <v>243</v>
      </c>
    </row>
    <row r="9" spans="1:4" x14ac:dyDescent="0.3">
      <c r="A9" s="35" t="s">
        <v>244</v>
      </c>
      <c r="B9" s="36" t="s">
        <v>106</v>
      </c>
      <c r="C9" s="44">
        <f>'Scenario Manager'!F8</f>
        <v>-0.02</v>
      </c>
      <c r="D9" s="10" t="s">
        <v>245</v>
      </c>
    </row>
    <row r="10" spans="1:4" x14ac:dyDescent="0.3">
      <c r="A10" s="35" t="s">
        <v>246</v>
      </c>
      <c r="B10" s="36" t="s">
        <v>188</v>
      </c>
      <c r="C10" s="46">
        <f>C6*C7*(1+C8+C9)</f>
        <v>22528</v>
      </c>
      <c r="D10" s="10" t="s">
        <v>247</v>
      </c>
    </row>
    <row r="11" spans="1:4" x14ac:dyDescent="0.3">
      <c r="A11" s="35" t="s">
        <v>248</v>
      </c>
      <c r="B11" s="36" t="s">
        <v>188</v>
      </c>
      <c r="C11" s="46">
        <f>C10-C6</f>
        <v>-9472</v>
      </c>
      <c r="D11" s="10" t="s">
        <v>249</v>
      </c>
    </row>
    <row r="13" spans="1:4" x14ac:dyDescent="0.3">
      <c r="A13" s="35" t="s">
        <v>229</v>
      </c>
      <c r="B13" s="36" t="s">
        <v>188</v>
      </c>
      <c r="C13" s="48">
        <f>Baseline!C6</f>
        <v>6400</v>
      </c>
      <c r="D13" s="10" t="s">
        <v>230</v>
      </c>
    </row>
    <row r="14" spans="1:4" x14ac:dyDescent="0.3">
      <c r="A14" s="35" t="s">
        <v>250</v>
      </c>
      <c r="B14" s="36" t="s">
        <v>106</v>
      </c>
      <c r="C14" s="44">
        <f>'Scenario Manager'!F13</f>
        <v>0.7</v>
      </c>
      <c r="D14" s="10" t="s">
        <v>81</v>
      </c>
    </row>
    <row r="15" spans="1:4" x14ac:dyDescent="0.3">
      <c r="A15" s="35" t="s">
        <v>251</v>
      </c>
      <c r="B15" s="36" t="s">
        <v>188</v>
      </c>
      <c r="C15" s="46">
        <f>C13*C14</f>
        <v>4480</v>
      </c>
      <c r="D15" s="10" t="s">
        <v>252</v>
      </c>
    </row>
    <row r="16" spans="1:4" x14ac:dyDescent="0.3">
      <c r="A16" s="35" t="s">
        <v>253</v>
      </c>
      <c r="B16" s="36" t="s">
        <v>188</v>
      </c>
      <c r="C16" s="46">
        <f>C15-C13</f>
        <v>-1920</v>
      </c>
      <c r="D16" s="10" t="s">
        <v>254</v>
      </c>
    </row>
    <row r="18" spans="1:4" x14ac:dyDescent="0.3">
      <c r="A18" s="73" t="s">
        <v>255</v>
      </c>
      <c r="B18" s="74"/>
      <c r="C18" s="74"/>
      <c r="D18" s="74"/>
    </row>
    <row r="19" spans="1:4" x14ac:dyDescent="0.3">
      <c r="A19" s="35" t="s">
        <v>256</v>
      </c>
      <c r="B19" s="36" t="s">
        <v>257</v>
      </c>
      <c r="C19" s="56">
        <f>Inputs!C16*Inputs!C17</f>
        <v>5759999.9999999981</v>
      </c>
      <c r="D19" s="10" t="s">
        <v>258</v>
      </c>
    </row>
    <row r="20" spans="1:4" x14ac:dyDescent="0.3">
      <c r="A20" s="35" t="s">
        <v>76</v>
      </c>
      <c r="B20" s="36" t="s">
        <v>106</v>
      </c>
      <c r="C20" s="44">
        <f>'Scenario Manager'!F12</f>
        <v>0.05</v>
      </c>
      <c r="D20" s="10" t="s">
        <v>259</v>
      </c>
    </row>
    <row r="21" spans="1:4" x14ac:dyDescent="0.3">
      <c r="A21" s="35" t="s">
        <v>260</v>
      </c>
      <c r="B21" s="36" t="s">
        <v>257</v>
      </c>
      <c r="C21" s="56">
        <f>C19*(1-C20)</f>
        <v>5471999.9999999981</v>
      </c>
      <c r="D21" s="10" t="s">
        <v>261</v>
      </c>
    </row>
    <row r="22" spans="1:4" x14ac:dyDescent="0.3">
      <c r="A22" s="35" t="s">
        <v>70</v>
      </c>
      <c r="B22" s="36" t="s">
        <v>106</v>
      </c>
      <c r="C22" s="44">
        <f>'Scenario Manager'!F10</f>
        <v>0.2</v>
      </c>
      <c r="D22" s="10" t="s">
        <v>262</v>
      </c>
    </row>
    <row r="23" spans="1:4" x14ac:dyDescent="0.3">
      <c r="A23" s="35" t="s">
        <v>263</v>
      </c>
      <c r="B23" s="36" t="s">
        <v>257</v>
      </c>
      <c r="C23" s="56">
        <f>C21*C22</f>
        <v>1094399.9999999998</v>
      </c>
      <c r="D23" s="10" t="s">
        <v>264</v>
      </c>
    </row>
    <row r="24" spans="1:4" x14ac:dyDescent="0.3">
      <c r="A24" s="35" t="s">
        <v>265</v>
      </c>
      <c r="B24" s="36" t="s">
        <v>257</v>
      </c>
      <c r="C24" s="56">
        <f>C21-C23</f>
        <v>4377599.9999999981</v>
      </c>
      <c r="D24" s="10" t="s">
        <v>266</v>
      </c>
    </row>
    <row r="25" spans="1:4" x14ac:dyDescent="0.3">
      <c r="A25" s="35" t="s">
        <v>267</v>
      </c>
      <c r="B25" s="36" t="s">
        <v>119</v>
      </c>
      <c r="C25" s="57">
        <f>Inputs!C10</f>
        <v>0.18</v>
      </c>
      <c r="D25" s="10" t="s">
        <v>268</v>
      </c>
    </row>
    <row r="26" spans="1:4" x14ac:dyDescent="0.3">
      <c r="A26" s="35" t="s">
        <v>269</v>
      </c>
      <c r="B26" s="36" t="s">
        <v>119</v>
      </c>
      <c r="C26" s="58">
        <f>Inputs!C11*(1+'Scenario Manager'!F11)</f>
        <v>6.8000000000000005E-2</v>
      </c>
      <c r="D26" s="10" t="s">
        <v>270</v>
      </c>
    </row>
    <row r="27" spans="1:4" x14ac:dyDescent="0.3">
      <c r="A27" s="51" t="s">
        <v>271</v>
      </c>
      <c r="B27" s="36" t="s">
        <v>188</v>
      </c>
      <c r="C27" s="46">
        <f>C23*C25</f>
        <v>196991.99999999994</v>
      </c>
      <c r="D27" s="10" t="s">
        <v>272</v>
      </c>
    </row>
    <row r="28" spans="1:4" x14ac:dyDescent="0.3">
      <c r="A28" s="35" t="s">
        <v>273</v>
      </c>
      <c r="B28" s="36" t="s">
        <v>188</v>
      </c>
      <c r="C28" s="46">
        <f>C24*C26</f>
        <v>297676.79999999987</v>
      </c>
      <c r="D28" s="10" t="s">
        <v>274</v>
      </c>
    </row>
    <row r="30" spans="1:4" x14ac:dyDescent="0.3">
      <c r="A30" s="73" t="s">
        <v>275</v>
      </c>
      <c r="B30" s="74"/>
      <c r="C30" s="74"/>
      <c r="D30" s="74"/>
    </row>
    <row r="31" spans="1:4" x14ac:dyDescent="0.3">
      <c r="A31" s="35" t="s">
        <v>231</v>
      </c>
      <c r="B31" s="36" t="s">
        <v>188</v>
      </c>
      <c r="C31" s="48">
        <f>Baseline!C7</f>
        <v>3200</v>
      </c>
      <c r="D31" s="10" t="s">
        <v>232</v>
      </c>
    </row>
    <row r="32" spans="1:4" x14ac:dyDescent="0.3">
      <c r="A32" s="35" t="s">
        <v>67</v>
      </c>
      <c r="B32" s="36" t="s">
        <v>106</v>
      </c>
      <c r="C32" s="44">
        <f>'Scenario Manager'!F9</f>
        <v>0.05</v>
      </c>
      <c r="D32" s="10" t="s">
        <v>276</v>
      </c>
    </row>
    <row r="33" spans="1:7" x14ac:dyDescent="0.3">
      <c r="A33" s="35" t="s">
        <v>277</v>
      </c>
      <c r="B33" s="36" t="s">
        <v>188</v>
      </c>
      <c r="C33" s="46">
        <f>C31*(1-C32)</f>
        <v>3040</v>
      </c>
      <c r="D33" s="10" t="s">
        <v>278</v>
      </c>
    </row>
    <row r="34" spans="1:7" x14ac:dyDescent="0.3">
      <c r="A34" s="35" t="s">
        <v>279</v>
      </c>
      <c r="B34" s="36" t="s">
        <v>188</v>
      </c>
      <c r="C34" s="46">
        <f>C31-C33</f>
        <v>160</v>
      </c>
      <c r="D34" s="10" t="s">
        <v>280</v>
      </c>
    </row>
    <row r="35" spans="1:7" x14ac:dyDescent="0.3">
      <c r="A35" s="35" t="s">
        <v>124</v>
      </c>
      <c r="B35" s="36" t="s">
        <v>188</v>
      </c>
      <c r="C35" s="48">
        <f>Inputs!C12</f>
        <v>0</v>
      </c>
      <c r="D35" s="10" t="s">
        <v>281</v>
      </c>
    </row>
    <row r="36" spans="1:7" x14ac:dyDescent="0.3">
      <c r="A36" s="35" t="s">
        <v>127</v>
      </c>
      <c r="B36" s="36" t="s">
        <v>188</v>
      </c>
      <c r="C36" s="48">
        <f>Inputs!C13</f>
        <v>0</v>
      </c>
      <c r="D36" s="10" t="s">
        <v>282</v>
      </c>
    </row>
    <row r="38" spans="1:7" x14ac:dyDescent="0.3">
      <c r="A38" s="73" t="s">
        <v>283</v>
      </c>
      <c r="B38" s="74"/>
      <c r="C38" s="74"/>
      <c r="D38" s="74"/>
    </row>
    <row r="39" spans="1:7" ht="69" x14ac:dyDescent="0.3">
      <c r="A39" s="35" t="s">
        <v>284</v>
      </c>
      <c r="B39" s="36" t="s">
        <v>188</v>
      </c>
      <c r="C39" s="48">
        <f>Financing!C11</f>
        <v>531145.64896661486</v>
      </c>
      <c r="D39" s="17" t="s">
        <v>209</v>
      </c>
    </row>
    <row r="40" spans="1:7" ht="41.4" x14ac:dyDescent="0.3">
      <c r="A40" s="35" t="s">
        <v>192</v>
      </c>
      <c r="B40" s="36" t="s">
        <v>188</v>
      </c>
      <c r="C40" s="48">
        <f>'Capex Opex'!C29</f>
        <v>165346.99999999994</v>
      </c>
      <c r="D40" s="17" t="s">
        <v>193</v>
      </c>
    </row>
    <row r="41" spans="1:7" x14ac:dyDescent="0.3">
      <c r="A41" s="35" t="s">
        <v>285</v>
      </c>
      <c r="B41" s="36" t="s">
        <v>188</v>
      </c>
      <c r="C41" s="46">
        <f>C11+C16+C27+C28+C34+C35+C36-C39-C40</f>
        <v>-213055.84896661498</v>
      </c>
      <c r="D41" s="82" t="s">
        <v>286</v>
      </c>
      <c r="E41" s="83"/>
      <c r="F41" s="83"/>
      <c r="G41" s="83"/>
    </row>
    <row r="42" spans="1:7" x14ac:dyDescent="0.3">
      <c r="D42" s="84"/>
      <c r="E42" s="84"/>
      <c r="F42" s="84"/>
      <c r="G42" s="84"/>
    </row>
  </sheetData>
  <mergeCells count="6">
    <mergeCell ref="A1:D1"/>
    <mergeCell ref="A5:D5"/>
    <mergeCell ref="A18:D18"/>
    <mergeCell ref="D41:G42"/>
    <mergeCell ref="A38:D38"/>
    <mergeCell ref="A30:D3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8"/>
  <sheetViews>
    <sheetView showGridLines="0" workbookViewId="0">
      <selection activeCell="A31" sqref="A31:D31"/>
    </sheetView>
  </sheetViews>
  <sheetFormatPr baseColWidth="10" defaultColWidth="8.88671875" defaultRowHeight="14.4" x14ac:dyDescent="0.3"/>
  <cols>
    <col min="1" max="1" width="36" customWidth="1"/>
    <col min="2" max="2" width="18" customWidth="1"/>
    <col min="3" max="3" width="16" customWidth="1"/>
    <col min="4" max="4" width="74.6640625" customWidth="1"/>
    <col min="5" max="5" width="18" customWidth="1"/>
  </cols>
  <sheetData>
    <row r="1" spans="1:5" ht="21" x14ac:dyDescent="0.3">
      <c r="A1" s="75" t="s">
        <v>287</v>
      </c>
      <c r="B1" s="76"/>
      <c r="C1" s="76"/>
      <c r="D1" s="76"/>
      <c r="E1" s="76"/>
    </row>
    <row r="3" spans="1:5" x14ac:dyDescent="0.3">
      <c r="A3" s="35" t="s">
        <v>288</v>
      </c>
      <c r="C3" s="55" t="str">
        <f>'Scenario Manager'!B4</f>
        <v>Conservative</v>
      </c>
      <c r="D3" s="10" t="s">
        <v>289</v>
      </c>
    </row>
    <row r="5" spans="1:5" x14ac:dyDescent="0.3">
      <c r="A5" s="73" t="s">
        <v>290</v>
      </c>
      <c r="B5" s="74"/>
      <c r="C5" s="74"/>
    </row>
    <row r="6" spans="1:5" x14ac:dyDescent="0.3">
      <c r="A6" s="35" t="s">
        <v>291</v>
      </c>
      <c r="C6" s="46">
        <f>MAX(0,'AV Model'!C11)</f>
        <v>0</v>
      </c>
      <c r="D6" s="10" t="s">
        <v>292</v>
      </c>
    </row>
    <row r="7" spans="1:5" x14ac:dyDescent="0.3">
      <c r="A7" s="35" t="s">
        <v>293</v>
      </c>
      <c r="C7" s="46">
        <f>MAX(0,'AV Model'!C16)</f>
        <v>0</v>
      </c>
      <c r="D7" s="10" t="s">
        <v>294</v>
      </c>
    </row>
    <row r="8" spans="1:5" x14ac:dyDescent="0.3">
      <c r="A8" s="35" t="s">
        <v>273</v>
      </c>
      <c r="C8" s="46">
        <f>'AV Model'!C28</f>
        <v>297676.79999999987</v>
      </c>
      <c r="D8" s="10" t="s">
        <v>295</v>
      </c>
    </row>
    <row r="9" spans="1:5" x14ac:dyDescent="0.3">
      <c r="A9" s="35" t="s">
        <v>124</v>
      </c>
      <c r="C9" s="46">
        <f>'AV Model'!C35</f>
        <v>0</v>
      </c>
      <c r="D9" s="10" t="s">
        <v>296</v>
      </c>
    </row>
    <row r="10" spans="1:5" x14ac:dyDescent="0.3">
      <c r="A10" s="35" t="s">
        <v>127</v>
      </c>
      <c r="C10" s="46">
        <f>'AV Model'!C36</f>
        <v>0</v>
      </c>
      <c r="D10" s="10" t="s">
        <v>297</v>
      </c>
    </row>
    <row r="11" spans="1:5" x14ac:dyDescent="0.3">
      <c r="A11" s="35" t="s">
        <v>298</v>
      </c>
      <c r="C11" s="46">
        <f>SUM(C6:C10)</f>
        <v>297676.79999999987</v>
      </c>
      <c r="D11" s="25" t="s">
        <v>299</v>
      </c>
    </row>
    <row r="13" spans="1:5" x14ac:dyDescent="0.3">
      <c r="A13" s="73" t="s">
        <v>300</v>
      </c>
      <c r="B13" s="74"/>
      <c r="C13" s="74"/>
    </row>
    <row r="14" spans="1:5" x14ac:dyDescent="0.3">
      <c r="A14" s="35" t="s">
        <v>301</v>
      </c>
      <c r="C14" s="46">
        <f>'AV Model'!C27</f>
        <v>196991.99999999994</v>
      </c>
      <c r="D14" s="10" t="s">
        <v>302</v>
      </c>
    </row>
    <row r="15" spans="1:5" x14ac:dyDescent="0.3">
      <c r="A15" s="35" t="s">
        <v>279</v>
      </c>
      <c r="C15" s="46">
        <f>'AV Model'!C34</f>
        <v>160</v>
      </c>
      <c r="D15" s="10" t="s">
        <v>303</v>
      </c>
    </row>
    <row r="16" spans="1:5" x14ac:dyDescent="0.3">
      <c r="A16" s="35" t="s">
        <v>304</v>
      </c>
      <c r="C16" s="46">
        <f>SUM(C14:C15)</f>
        <v>197151.99999999994</v>
      </c>
      <c r="D16" s="25" t="s">
        <v>305</v>
      </c>
    </row>
    <row r="18" spans="1:4" x14ac:dyDescent="0.3">
      <c r="A18" s="73" t="s">
        <v>306</v>
      </c>
      <c r="B18" s="74"/>
      <c r="C18" s="74"/>
    </row>
    <row r="19" spans="1:4" x14ac:dyDescent="0.3">
      <c r="A19" s="35" t="s">
        <v>284</v>
      </c>
      <c r="C19" s="46">
        <f>'AV Model'!C39</f>
        <v>531145.64896661486</v>
      </c>
      <c r="D19" s="10" t="s">
        <v>307</v>
      </c>
    </row>
    <row r="20" spans="1:4" x14ac:dyDescent="0.3">
      <c r="A20" s="35" t="s">
        <v>192</v>
      </c>
      <c r="C20" s="46">
        <f>'AV Model'!C40</f>
        <v>165346.99999999994</v>
      </c>
      <c r="D20" s="10" t="s">
        <v>308</v>
      </c>
    </row>
    <row r="21" spans="1:4" x14ac:dyDescent="0.3">
      <c r="A21" s="35" t="s">
        <v>309</v>
      </c>
      <c r="C21" s="46">
        <f>SUM(C19:C20)</f>
        <v>696492.64896661486</v>
      </c>
      <c r="D21" s="24" t="s">
        <v>310</v>
      </c>
    </row>
    <row r="23" spans="1:4" x14ac:dyDescent="0.3">
      <c r="A23" s="73" t="s">
        <v>311</v>
      </c>
      <c r="B23" s="74"/>
      <c r="C23" s="74"/>
    </row>
    <row r="24" spans="1:4" x14ac:dyDescent="0.3">
      <c r="A24" s="35" t="s">
        <v>312</v>
      </c>
      <c r="C24" s="46">
        <f>MAX(0,-'AV Model'!C11)</f>
        <v>9472</v>
      </c>
      <c r="D24" s="10" t="s">
        <v>313</v>
      </c>
    </row>
    <row r="25" spans="1:4" x14ac:dyDescent="0.3">
      <c r="A25" s="35" t="s">
        <v>314</v>
      </c>
      <c r="C25" s="46">
        <f>MAX(0,-'AV Model'!C16)</f>
        <v>1920</v>
      </c>
      <c r="D25" s="10" t="s">
        <v>315</v>
      </c>
    </row>
    <row r="26" spans="1:4" x14ac:dyDescent="0.3">
      <c r="A26" s="35" t="s">
        <v>316</v>
      </c>
      <c r="C26" s="46">
        <f>SUM(C24:C25)</f>
        <v>11392</v>
      </c>
      <c r="D26" s="25" t="s">
        <v>317</v>
      </c>
    </row>
    <row r="28" spans="1:4" x14ac:dyDescent="0.3">
      <c r="A28" s="73" t="s">
        <v>318</v>
      </c>
      <c r="B28" s="74"/>
      <c r="C28" s="74"/>
      <c r="D28" s="74"/>
    </row>
    <row r="29" spans="1:4" x14ac:dyDescent="0.3">
      <c r="A29" s="59" t="s">
        <v>319</v>
      </c>
      <c r="B29" s="36" t="s">
        <v>188</v>
      </c>
      <c r="C29" s="60">
        <f>C11+C16-C21-C26</f>
        <v>-213055.84896661504</v>
      </c>
      <c r="D29" s="25" t="s">
        <v>320</v>
      </c>
    </row>
    <row r="31" spans="1:4" x14ac:dyDescent="0.3">
      <c r="A31" s="73" t="s">
        <v>321</v>
      </c>
      <c r="B31" s="74"/>
      <c r="C31" s="74"/>
      <c r="D31" s="74"/>
    </row>
    <row r="32" spans="1:4" x14ac:dyDescent="0.3">
      <c r="A32" s="35" t="s">
        <v>322</v>
      </c>
      <c r="B32" s="36" t="s">
        <v>323</v>
      </c>
      <c r="C32" s="46">
        <f>IF(Inputs!C4=0,0,C29/Inputs!C4)</f>
        <v>-6657.9952802067201</v>
      </c>
      <c r="D32" s="10" t="s">
        <v>324</v>
      </c>
    </row>
    <row r="33" spans="1:5" x14ac:dyDescent="0.3">
      <c r="A33" s="35" t="s">
        <v>325</v>
      </c>
      <c r="B33" s="36" t="s">
        <v>326</v>
      </c>
      <c r="C33" s="46">
        <f>IF(Inputs!C16=0,0,C29/Inputs!C16)</f>
        <v>-33.289976401033613</v>
      </c>
      <c r="D33" s="10" t="s">
        <v>327</v>
      </c>
    </row>
    <row r="34" spans="1:5" x14ac:dyDescent="0.3">
      <c r="A34" s="35" t="s">
        <v>328</v>
      </c>
      <c r="B34" s="36" t="s">
        <v>119</v>
      </c>
      <c r="C34" s="58">
        <f>MAX(0,IF('AV Model'!C24=0,0,('AV Model'!C39+'AV Model'!C40-'AV Model'!C11-'AV Model'!C16-'AV Model'!C27-'AV Model'!C34-'AV Model'!C35-'AV Model'!C36)/'AV Model'!C24))</f>
        <v>0.11666955614186202</v>
      </c>
      <c r="D34" s="10" t="s">
        <v>329</v>
      </c>
    </row>
    <row r="35" spans="1:5" x14ac:dyDescent="0.3">
      <c r="A35" s="35"/>
      <c r="B35" s="36"/>
      <c r="C35" s="61"/>
    </row>
    <row r="37" spans="1:5" x14ac:dyDescent="0.3">
      <c r="A37" s="80"/>
      <c r="B37" s="78"/>
      <c r="C37" s="78"/>
      <c r="D37" s="78"/>
      <c r="E37" s="78"/>
    </row>
    <row r="38" spans="1:5" x14ac:dyDescent="0.3">
      <c r="A38" s="79"/>
      <c r="B38" s="79"/>
      <c r="C38" s="79"/>
      <c r="D38" s="79"/>
      <c r="E38" s="79"/>
    </row>
  </sheetData>
  <mergeCells count="8">
    <mergeCell ref="A1:E1"/>
    <mergeCell ref="A28:D28"/>
    <mergeCell ref="A37:E38"/>
    <mergeCell ref="A13:C13"/>
    <mergeCell ref="A31:D31"/>
    <mergeCell ref="A5:C5"/>
    <mergeCell ref="A23:C23"/>
    <mergeCell ref="A18:C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6"/>
  <sheetViews>
    <sheetView showGridLines="0" workbookViewId="0">
      <selection activeCell="A15" sqref="A15:F15"/>
    </sheetView>
  </sheetViews>
  <sheetFormatPr baseColWidth="10" defaultColWidth="8.88671875" defaultRowHeight="14.4" x14ac:dyDescent="0.3"/>
  <cols>
    <col min="1" max="1" width="34" customWidth="1"/>
    <col min="2" max="6" width="14" customWidth="1"/>
    <col min="7" max="7" width="61.109375" customWidth="1"/>
  </cols>
  <sheetData>
    <row r="1" spans="1:7" ht="21" x14ac:dyDescent="0.3">
      <c r="A1" s="75" t="s">
        <v>330</v>
      </c>
      <c r="B1" s="76"/>
      <c r="C1" s="76"/>
      <c r="D1" s="76"/>
      <c r="E1" s="76"/>
      <c r="F1" s="76"/>
    </row>
    <row r="3" spans="1:7" x14ac:dyDescent="0.3">
      <c r="A3" s="35" t="s">
        <v>331</v>
      </c>
      <c r="B3" s="36" t="s">
        <v>188</v>
      </c>
      <c r="C3" s="48">
        <f>'AV Model'!C41</f>
        <v>-213055.84896661498</v>
      </c>
    </row>
    <row r="5" spans="1:7" x14ac:dyDescent="0.3">
      <c r="A5" s="73" t="s">
        <v>332</v>
      </c>
      <c r="B5" s="74"/>
      <c r="C5" s="74"/>
      <c r="D5" s="74"/>
      <c r="E5" s="74"/>
      <c r="F5" s="74"/>
      <c r="G5" s="10" t="s">
        <v>333</v>
      </c>
    </row>
    <row r="6" spans="1:7" x14ac:dyDescent="0.3">
      <c r="A6" s="28" t="s">
        <v>334</v>
      </c>
      <c r="B6" s="62">
        <v>0.8</v>
      </c>
      <c r="C6" s="62">
        <v>0.9</v>
      </c>
      <c r="D6" s="62">
        <v>1</v>
      </c>
      <c r="E6" s="62">
        <v>1.1000000000000001</v>
      </c>
      <c r="F6" s="62">
        <v>1.2</v>
      </c>
    </row>
    <row r="7" spans="1:7" x14ac:dyDescent="0.3">
      <c r="A7" s="28" t="s">
        <v>319</v>
      </c>
      <c r="B7" s="63">
        <f>'AV Model'!$C$41-'AV Model'!$C$28+'AV Model'!$C$24*'AV Model'!$C$26*B6</f>
        <v>-272591.20896661491</v>
      </c>
      <c r="C7" s="63">
        <f>'AV Model'!$C$41-'AV Model'!$C$28+'AV Model'!$C$24*'AV Model'!$C$26*C6</f>
        <v>-242823.52896661498</v>
      </c>
      <c r="D7" s="63">
        <f>'AV Model'!$C$41-'AV Model'!$C$28+'AV Model'!$C$24*'AV Model'!$C$26*D6</f>
        <v>-213055.84896661498</v>
      </c>
      <c r="E7" s="63">
        <f>'AV Model'!$C$41-'AV Model'!$C$28+'AV Model'!$C$24*'AV Model'!$C$26*E6</f>
        <v>-183288.16896661499</v>
      </c>
      <c r="F7" s="63">
        <f>'AV Model'!$C$41-'AV Model'!$C$28+'AV Model'!$C$24*'AV Model'!$C$26*F6</f>
        <v>-153520.488966615</v>
      </c>
    </row>
    <row r="10" spans="1:7" x14ac:dyDescent="0.3">
      <c r="A10" s="73" t="s">
        <v>335</v>
      </c>
      <c r="B10" s="74"/>
      <c r="C10" s="74"/>
      <c r="D10" s="74"/>
      <c r="E10" s="74"/>
      <c r="F10" s="74"/>
      <c r="G10" s="10" t="s">
        <v>336</v>
      </c>
    </row>
    <row r="11" spans="1:7" x14ac:dyDescent="0.3">
      <c r="A11" s="28" t="s">
        <v>337</v>
      </c>
      <c r="B11" s="62">
        <v>-0.1</v>
      </c>
      <c r="C11" s="62">
        <v>-0.05</v>
      </c>
      <c r="D11" s="62">
        <v>0</v>
      </c>
      <c r="E11" s="62">
        <v>0.05</v>
      </c>
      <c r="F11" s="62">
        <v>0.1</v>
      </c>
    </row>
    <row r="12" spans="1:7" x14ac:dyDescent="0.3">
      <c r="A12" s="28" t="s">
        <v>319</v>
      </c>
      <c r="B12" s="63">
        <f>'AV Model'!$C$41-'AV Model'!$C$11+(Baseline!$C$5*Inputs!$C$5*(1+B11+'AV Model'!$C$9)-Baseline!$C$5)</f>
        <v>-213055.84896661498</v>
      </c>
      <c r="C12" s="63">
        <f>'AV Model'!$C$41-'AV Model'!$C$11+(Baseline!$C$5*Inputs!$C$5*(1+C11+'AV Model'!$C$9)-Baseline!$C$5)</f>
        <v>-211775.84896661498</v>
      </c>
      <c r="D12" s="63">
        <f>'AV Model'!$C$41-'AV Model'!$C$11+(Baseline!$C$5*Inputs!$C$5*(1+D11+'AV Model'!$C$9)-Baseline!$C$5)</f>
        <v>-210495.84896661498</v>
      </c>
      <c r="E12" s="63">
        <f>'AV Model'!$C$41-'AV Model'!$C$11+(Baseline!$C$5*Inputs!$C$5*(1+E11+'AV Model'!$C$9)-Baseline!$C$5)</f>
        <v>-209215.84896661498</v>
      </c>
      <c r="F12" s="63">
        <f>'AV Model'!$C$41-'AV Model'!$C$11+(Baseline!$C$5*Inputs!$C$5*(1+F11+'AV Model'!$C$9)-Baseline!$C$5)</f>
        <v>-207935.84896661498</v>
      </c>
    </row>
    <row r="15" spans="1:7" x14ac:dyDescent="0.3">
      <c r="A15" s="73" t="s">
        <v>338</v>
      </c>
      <c r="B15" s="74"/>
      <c r="C15" s="74"/>
      <c r="D15" s="74"/>
      <c r="E15" s="74"/>
      <c r="F15" s="74"/>
      <c r="G15" s="10" t="s">
        <v>339</v>
      </c>
    </row>
    <row r="16" spans="1:7" x14ac:dyDescent="0.3">
      <c r="A16" s="28" t="s">
        <v>340</v>
      </c>
      <c r="B16" s="62">
        <v>0.6</v>
      </c>
      <c r="C16" s="62">
        <v>0.7</v>
      </c>
      <c r="D16" s="62">
        <v>0.8</v>
      </c>
      <c r="E16" s="62">
        <v>0.9</v>
      </c>
      <c r="F16" s="62">
        <v>1</v>
      </c>
    </row>
    <row r="17" spans="1:7" x14ac:dyDescent="0.3">
      <c r="A17" s="28" t="s">
        <v>319</v>
      </c>
      <c r="B17" s="63">
        <f>'AV Model'!$C$41-'AV Model'!$C$16+(Baseline!$C$6*B16-Baseline!$C$6)</f>
        <v>-213695.84896661498</v>
      </c>
      <c r="C17" s="63">
        <f>'AV Model'!$C$41-'AV Model'!$C$16+(Baseline!$C$6*C16-Baseline!$C$6)</f>
        <v>-213055.84896661498</v>
      </c>
      <c r="D17" s="63">
        <f>'AV Model'!$C$41-'AV Model'!$C$16+(Baseline!$C$6*D16-Baseline!$C$6)</f>
        <v>-212415.84896661498</v>
      </c>
      <c r="E17" s="63">
        <f>'AV Model'!$C$41-'AV Model'!$C$16+(Baseline!$C$6*E16-Baseline!$C$6)</f>
        <v>-211775.84896661498</v>
      </c>
      <c r="F17" s="63">
        <f>'AV Model'!$C$41-'AV Model'!$C$16+(Baseline!$C$6*F16-Baseline!$C$6)</f>
        <v>-211135.84896661498</v>
      </c>
    </row>
    <row r="20" spans="1:7" x14ac:dyDescent="0.3">
      <c r="A20" s="77" t="s">
        <v>341</v>
      </c>
      <c r="B20" s="78"/>
      <c r="C20" s="78"/>
      <c r="D20" s="78"/>
      <c r="E20" s="78"/>
      <c r="F20" s="78"/>
    </row>
    <row r="21" spans="1:7" x14ac:dyDescent="0.3">
      <c r="A21" s="79"/>
      <c r="B21" s="79"/>
      <c r="C21" s="79"/>
      <c r="D21" s="79"/>
      <c r="E21" s="79"/>
      <c r="F21" s="79"/>
    </row>
    <row r="26" spans="1:7" x14ac:dyDescent="0.3">
      <c r="G26" t="s">
        <v>123</v>
      </c>
    </row>
  </sheetData>
  <mergeCells count="5">
    <mergeCell ref="A10:F10"/>
    <mergeCell ref="A1:F1"/>
    <mergeCell ref="A5:F5"/>
    <mergeCell ref="A20:F21"/>
    <mergeCell ref="A15:F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s xmlns="129a5459-cdee-4c06-ac3c-d4228a25c162" xsi:nil="true"/>
    <lcf76f155ced4ddcb4097134ff3c332f xmlns="129a5459-cdee-4c06-ac3c-d4228a25c162">
      <Terms xmlns="http://schemas.microsoft.com/office/infopath/2007/PartnerControls"/>
    </lcf76f155ced4ddcb4097134ff3c332f>
    <TaxCatchAll xmlns="78ea18b6-e2a5-44b0-bbd3-104bf273136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DF2F279C907F246A4EAB96BA430F9D1" ma:contentTypeVersion="16" ma:contentTypeDescription="Create a new document." ma:contentTypeScope="" ma:versionID="fb0cb8df474d8d75be3fbca9ff754cdb">
  <xsd:schema xmlns:xsd="http://www.w3.org/2001/XMLSchema" xmlns:xs="http://www.w3.org/2001/XMLSchema" xmlns:p="http://schemas.microsoft.com/office/2006/metadata/properties" xmlns:ns2="129a5459-cdee-4c06-ac3c-d4228a25c162" xmlns:ns3="78ea18b6-e2a5-44b0-bbd3-104bf2731368" targetNamespace="http://schemas.microsoft.com/office/2006/metadata/properties" ma:root="true" ma:fieldsID="3efa42f916c9303a7831704ae0380008" ns2:_="" ns3:_="">
    <xsd:import namespace="129a5459-cdee-4c06-ac3c-d4228a25c162"/>
    <xsd:import namespace="78ea18b6-e2a5-44b0-bbd3-104bf273136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Note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9a5459-cdee-4c06-ac3c-d4228a25c1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8cd521b-c766-495a-bf72-da9be8cb7f85"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Notes" ma:index="19" nillable="true" ma:displayName="Notes" ma:format="Dropdown" ma:internalName="Notes">
      <xsd:simpleType>
        <xsd:restriction base="dms:Text">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ea18b6-e2a5-44b0-bbd3-104bf2731368"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86740d93-3fa1-441f-b4ed-349ec5ecd571}" ma:internalName="TaxCatchAll" ma:showField="CatchAllData" ma:web="78ea18b6-e2a5-44b0-bbd3-104bf27313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9DFB03-CB16-4F0F-9EBF-37F91C2EE13D}">
  <ds:schemaRefs>
    <ds:schemaRef ds:uri="http://schemas.microsoft.com/office/2006/metadata/properties"/>
    <ds:schemaRef ds:uri="http://schemas.microsoft.com/office/infopath/2007/PartnerControls"/>
    <ds:schemaRef ds:uri="129a5459-cdee-4c06-ac3c-d4228a25c162"/>
    <ds:schemaRef ds:uri="78ea18b6-e2a5-44b0-bbd3-104bf2731368"/>
  </ds:schemaRefs>
</ds:datastoreItem>
</file>

<file path=customXml/itemProps2.xml><?xml version="1.0" encoding="utf-8"?>
<ds:datastoreItem xmlns:ds="http://schemas.openxmlformats.org/officeDocument/2006/customXml" ds:itemID="{D7B4011F-2765-4C23-84C9-65D17AE9A46A}">
  <ds:schemaRefs>
    <ds:schemaRef ds:uri="http://schemas.microsoft.com/sharepoint/v3/contenttype/forms"/>
  </ds:schemaRefs>
</ds:datastoreItem>
</file>

<file path=customXml/itemProps3.xml><?xml version="1.0" encoding="utf-8"?>
<ds:datastoreItem xmlns:ds="http://schemas.openxmlformats.org/officeDocument/2006/customXml" ds:itemID="{62282782-A1DC-4D27-ADF8-BF879DBFCC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9a5459-cdee-4c06-ac3c-d4228a25c162"/>
    <ds:schemaRef ds:uri="78ea18b6-e2a5-44b0-bbd3-104bf27313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Feuilles de calcul</vt:lpstr>
      </vt:variant>
      <vt:variant>
        <vt:i4>9</vt:i4>
      </vt:variant>
    </vt:vector>
  </HeadingPairs>
  <TitlesOfParts>
    <vt:vector size="9" baseType="lpstr">
      <vt:lpstr>Readme</vt:lpstr>
      <vt:lpstr>Scenario Manager</vt:lpstr>
      <vt:lpstr>Inputs</vt:lpstr>
      <vt:lpstr>Capex Opex</vt:lpstr>
      <vt:lpstr>Financing</vt:lpstr>
      <vt:lpstr>Baseline</vt:lpstr>
      <vt:lpstr>AV Model</vt:lpstr>
      <vt:lpstr>Partial Budget</vt:lpstr>
      <vt:lpstr>Sensitivity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mdjomolite</dc:creator>
  <cp:keywords/>
  <dc:description/>
  <cp:lastModifiedBy>Magloire Djomolite-Bolendea</cp:lastModifiedBy>
  <cp:revision/>
  <dcterms:created xsi:type="dcterms:W3CDTF">2026-04-08T13:56:55Z</dcterms:created>
  <dcterms:modified xsi:type="dcterms:W3CDTF">2026-08-26T10:06:45Z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0x010100DDF2F279C907F246A4EAB96BA430F9D1</vt:lpwstr>
  </property>
  <property fmtid="{D5CDD505-2E9C-101B-9397-08002B2CF9AE}" pid="3" name="MediaServiceImageTags">
    <vt:lpwstr/>
  </property>
</Properties>
</file>